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Axio\"/>
    </mc:Choice>
  </mc:AlternateContent>
  <xr:revisionPtr revIDLastSave="0" documentId="13_ncr:1_{46AB48BB-3561-417F-82B3-E016662C1CE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venue" sheetId="1" r:id="rId1"/>
    <sheet name="Staff costs" sheetId="2" r:id="rId2"/>
    <sheet name="OPEX" sheetId="3" r:id="rId3"/>
    <sheet name="CAPEX" sheetId="6" r:id="rId4"/>
    <sheet name="Amortizations" sheetId="7" r:id="rId5"/>
    <sheet name="Income statement" sheetId="5" r:id="rId6"/>
    <sheet name="Cashflow statement" sheetId="9" r:id="rId7"/>
    <sheet name="WCR" sheetId="8" r:id="rId8"/>
  </sheets>
  <externalReferences>
    <externalReference r:id="rId9"/>
  </externalReferences>
  <definedNames>
    <definedName name="__IntlFixup">1</definedName>
    <definedName name="__IntlFixupTable">"#REF!"</definedName>
    <definedName name="_Order1">0</definedName>
    <definedName name="AA.Report.Files">"#REF!"</definedName>
    <definedName name="AA.Reports.Available">"#REF!"</definedName>
    <definedName name="CIQWBGuid" hidden="1">"2cd8126d-26c3-430c-b7fa-a069e3a1fc62"</definedName>
    <definedName name="DATA_01">#N/A</definedName>
    <definedName name="DATA_02">#N/A</definedName>
    <definedName name="DATA_03">#N/A</definedName>
    <definedName name="DATA_04">#N/A</definedName>
    <definedName name="Database.File">"#REF!"</definedName>
    <definedName name="File.Type">"#REF!"</definedName>
    <definedName name="Fixed_costs">"#REF!"</definedName>
    <definedName name="Gross_margin">"#REF!"</definedName>
    <definedName name="HTML_CodePage">1252</definedName>
    <definedName name="HTML_Control" localSheetId="2">{"'Leverage'!$B$2:$M$418"}</definedName>
    <definedName name="HTML_Control">{"'Leverage'!$B$2:$M$418"}</definedName>
    <definedName name="HTML_Description">""</definedName>
    <definedName name="HTML_Email">""</definedName>
    <definedName name="HTML_Header">"Leverage"</definedName>
    <definedName name="HTML_LastUpdate">"8/21/00"</definedName>
    <definedName name="HTML_LineAfter">0</definedName>
    <definedName name="HTML_LineBefore">0</definedName>
    <definedName name="HTML_Name">"Frank Vickers"</definedName>
    <definedName name="HTML_OBDlg2">1</definedName>
    <definedName name="HTML_OBDlg4">1</definedName>
    <definedName name="HTML_OS">0</definedName>
    <definedName name="HTML_PathFile">"C:\my documents\lever.htm"</definedName>
    <definedName name="HTML_Title">"leverage"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BOR_TAX">#N/A</definedName>
    <definedName name="Macro1">"[0]!macro1"</definedName>
    <definedName name="Macro2">"[0]!macro2"</definedName>
    <definedName name="PARTS_TAX">#N/A</definedName>
    <definedName name="Sales_price_unit">"#REF!"</definedName>
    <definedName name="Sales_volume_units">"#REF!"</definedName>
    <definedName name="Show.Acct.Update.Warning">"#REF!"</definedName>
    <definedName name="Show.MDB.Update.Warning">"#REF!"</definedName>
    <definedName name="Total_fixed">"#REF!"</definedName>
    <definedName name="Total_Sales">"#REF!"</definedName>
    <definedName name="Total_variable">"#REF!"</definedName>
    <definedName name="Unit_contrib_margin">"#REF!"</definedName>
    <definedName name="Variable_costs_unit">"#REF!"</definedName>
    <definedName name="Variable_Unit_Cost">"#REF!"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 l="1"/>
  <c r="F5" i="7"/>
  <c r="G5" i="7"/>
  <c r="H5" i="7"/>
  <c r="D5" i="7"/>
  <c r="C29" i="3"/>
  <c r="C28" i="3"/>
  <c r="C23" i="8" s="1"/>
  <c r="C27" i="3"/>
  <c r="C26" i="3"/>
  <c r="C25" i="3"/>
  <c r="C24" i="3"/>
  <c r="C19" i="8" s="1"/>
  <c r="C23" i="3"/>
  <c r="C20" i="3"/>
  <c r="C19" i="3"/>
  <c r="C18" i="3"/>
  <c r="C17" i="3"/>
  <c r="C16" i="3"/>
  <c r="C15" i="3"/>
  <c r="C88" i="1"/>
  <c r="D88" i="1"/>
  <c r="E88" i="1"/>
  <c r="F88" i="1"/>
  <c r="B88" i="1"/>
  <c r="A127" i="1"/>
  <c r="B118" i="1"/>
  <c r="B74" i="1"/>
  <c r="B122" i="1" s="1"/>
  <c r="B123" i="1" s="1"/>
  <c r="B124" i="1" s="1"/>
  <c r="B125" i="1" s="1"/>
  <c r="B73" i="1"/>
  <c r="B96" i="1" s="1"/>
  <c r="B41" i="1"/>
  <c r="B42" i="1"/>
  <c r="B66" i="1"/>
  <c r="B67" i="1" s="1"/>
  <c r="B47" i="1"/>
  <c r="B48" i="1" s="1"/>
  <c r="C48" i="1" s="1"/>
  <c r="D48" i="1" s="1"/>
  <c r="E48" i="1" s="1"/>
  <c r="F48" i="1" s="1"/>
  <c r="B28" i="1"/>
  <c r="B29" i="1" s="1"/>
  <c r="B104" i="1"/>
  <c r="B15" i="1"/>
  <c r="C15" i="1" s="1"/>
  <c r="D15" i="1" s="1"/>
  <c r="E15" i="1" s="1"/>
  <c r="F15" i="1" s="1"/>
  <c r="C56" i="1"/>
  <c r="D56" i="1" s="1"/>
  <c r="E56" i="1" s="1"/>
  <c r="F56" i="1" s="1"/>
  <c r="F73" i="1" s="1"/>
  <c r="B108" i="1"/>
  <c r="C37" i="1"/>
  <c r="D37" i="1" s="1"/>
  <c r="E37" i="1" s="1"/>
  <c r="F37" i="1" s="1"/>
  <c r="C58" i="1"/>
  <c r="D58" i="1" s="1"/>
  <c r="E58" i="1" s="1"/>
  <c r="F58" i="1" s="1"/>
  <c r="F74" i="1" s="1"/>
  <c r="F122" i="1" s="1"/>
  <c r="B25" i="2"/>
  <c r="C25" i="2" s="1"/>
  <c r="C44" i="2" s="1"/>
  <c r="C10" i="8"/>
  <c r="C12" i="8"/>
  <c r="C28" i="2"/>
  <c r="B46" i="2"/>
  <c r="C18" i="8"/>
  <c r="B31" i="2"/>
  <c r="B33" i="2"/>
  <c r="B52" i="2" s="1"/>
  <c r="C24" i="8"/>
  <c r="B7" i="6"/>
  <c r="B9" i="6"/>
  <c r="B30" i="2"/>
  <c r="B43" i="2"/>
  <c r="B26" i="2"/>
  <c r="B45" i="2" s="1"/>
  <c r="B23" i="2"/>
  <c r="E9" i="9"/>
  <c r="A24" i="8"/>
  <c r="A23" i="8"/>
  <c r="A22" i="8"/>
  <c r="A11" i="8"/>
  <c r="A12" i="8"/>
  <c r="A13" i="8"/>
  <c r="A14" i="8"/>
  <c r="A15" i="8"/>
  <c r="A16" i="8"/>
  <c r="A17" i="8"/>
  <c r="A18" i="8"/>
  <c r="A19" i="8"/>
  <c r="A20" i="8"/>
  <c r="A21" i="8"/>
  <c r="A10" i="8"/>
  <c r="A9" i="8"/>
  <c r="A6" i="8"/>
  <c r="A5" i="8"/>
  <c r="A17" i="7"/>
  <c r="A16" i="7"/>
  <c r="C17" i="7"/>
  <c r="F17" i="7" s="1"/>
  <c r="C16" i="7"/>
  <c r="C22" i="8"/>
  <c r="C21" i="8"/>
  <c r="C20" i="8"/>
  <c r="D23" i="3"/>
  <c r="D18" i="8" s="1"/>
  <c r="E23" i="3"/>
  <c r="E18" i="8" s="1"/>
  <c r="F23" i="3"/>
  <c r="F18" i="8" s="1"/>
  <c r="G23" i="3"/>
  <c r="G18" i="8" s="1"/>
  <c r="C15" i="8"/>
  <c r="C14" i="8"/>
  <c r="C13" i="8"/>
  <c r="C11" i="8"/>
  <c r="C51" i="2"/>
  <c r="E51" i="2"/>
  <c r="F51" i="2"/>
  <c r="B49" i="2"/>
  <c r="B51" i="2"/>
  <c r="B42" i="2"/>
  <c r="B32" i="2"/>
  <c r="C32" i="2" s="1"/>
  <c r="D32" i="2" s="1"/>
  <c r="E32" i="2" s="1"/>
  <c r="F32" i="2" s="1"/>
  <c r="C31" i="2"/>
  <c r="D31" i="2" s="1"/>
  <c r="E31" i="2" s="1"/>
  <c r="F31" i="2" s="1"/>
  <c r="C30" i="2"/>
  <c r="D30" i="2" s="1"/>
  <c r="E30" i="2" s="1"/>
  <c r="F30" i="2" s="1"/>
  <c r="F49" i="2" s="1"/>
  <c r="B29" i="2"/>
  <c r="C29" i="2" s="1"/>
  <c r="D29" i="2" s="1"/>
  <c r="E29" i="2" s="1"/>
  <c r="F29" i="2" s="1"/>
  <c r="C24" i="2"/>
  <c r="C43" i="2" s="1"/>
  <c r="A29" i="2"/>
  <c r="A48" i="2" s="1"/>
  <c r="A30" i="2"/>
  <c r="A49" i="2" s="1"/>
  <c r="A25" i="2"/>
  <c r="A44" i="2" s="1"/>
  <c r="A26" i="2"/>
  <c r="A45" i="2" s="1"/>
  <c r="A108" i="1"/>
  <c r="B112" i="1"/>
  <c r="A112" i="1"/>
  <c r="C9" i="1"/>
  <c r="F97" i="1" l="1"/>
  <c r="F127" i="1" s="1"/>
  <c r="F129" i="1" s="1"/>
  <c r="B97" i="1"/>
  <c r="B127" i="1" s="1"/>
  <c r="B129" i="1" s="1"/>
  <c r="B117" i="1"/>
  <c r="B119" i="1" s="1"/>
  <c r="B120" i="1" s="1"/>
  <c r="C121" i="1"/>
  <c r="E73" i="1"/>
  <c r="D73" i="1"/>
  <c r="C73" i="1"/>
  <c r="C96" i="1" s="1"/>
  <c r="E74" i="1"/>
  <c r="D74" i="1"/>
  <c r="C74" i="1"/>
  <c r="C41" i="1"/>
  <c r="D41" i="1" s="1"/>
  <c r="E41" i="1" s="1"/>
  <c r="F41" i="1" s="1"/>
  <c r="C28" i="1"/>
  <c r="D28" i="1" s="1"/>
  <c r="E28" i="1" s="1"/>
  <c r="F28" i="1" s="1"/>
  <c r="C39" i="1"/>
  <c r="C42" i="1" s="1"/>
  <c r="D112" i="1"/>
  <c r="C112" i="1"/>
  <c r="D24" i="2"/>
  <c r="E24" i="2" s="1"/>
  <c r="F24" i="2" s="1"/>
  <c r="F43" i="2" s="1"/>
  <c r="D51" i="2"/>
  <c r="B44" i="2"/>
  <c r="D28" i="2"/>
  <c r="C47" i="2"/>
  <c r="B47" i="2"/>
  <c r="C27" i="2"/>
  <c r="C33" i="2"/>
  <c r="E49" i="2"/>
  <c r="D49" i="2"/>
  <c r="C49" i="2"/>
  <c r="C26" i="2"/>
  <c r="D25" i="2"/>
  <c r="E16" i="7"/>
  <c r="F16" i="7"/>
  <c r="D16" i="7"/>
  <c r="D17" i="7"/>
  <c r="E17" i="7"/>
  <c r="E122" i="1" l="1"/>
  <c r="E97" i="1"/>
  <c r="E127" i="1" s="1"/>
  <c r="E129" i="1" s="1"/>
  <c r="D122" i="1"/>
  <c r="D97" i="1"/>
  <c r="D127" i="1" s="1"/>
  <c r="D129" i="1" s="1"/>
  <c r="C122" i="1"/>
  <c r="C123" i="1" s="1"/>
  <c r="C124" i="1" s="1"/>
  <c r="C97" i="1"/>
  <c r="C127" i="1" s="1"/>
  <c r="C129" i="1" s="1"/>
  <c r="C29" i="1"/>
  <c r="C108" i="1"/>
  <c r="E43" i="2"/>
  <c r="D43" i="2"/>
  <c r="D39" i="1"/>
  <c r="D42" i="1" s="1"/>
  <c r="F112" i="1"/>
  <c r="E112" i="1"/>
  <c r="E28" i="2"/>
  <c r="D47" i="2"/>
  <c r="D27" i="2"/>
  <c r="C46" i="2"/>
  <c r="D33" i="2"/>
  <c r="C52" i="2"/>
  <c r="C45" i="2"/>
  <c r="D26" i="2"/>
  <c r="E25" i="2"/>
  <c r="D44" i="2"/>
  <c r="D121" i="1" l="1"/>
  <c r="D96" i="1"/>
  <c r="E39" i="1"/>
  <c r="F39" i="1" s="1"/>
  <c r="F108" i="1" s="1"/>
  <c r="D108" i="1"/>
  <c r="F96" i="1"/>
  <c r="E96" i="1"/>
  <c r="F28" i="2"/>
  <c r="F47" i="2" s="1"/>
  <c r="E47" i="2"/>
  <c r="E27" i="2"/>
  <c r="D46" i="2"/>
  <c r="E33" i="2"/>
  <c r="D52" i="2"/>
  <c r="E26" i="2"/>
  <c r="D45" i="2"/>
  <c r="E44" i="2"/>
  <c r="F25" i="2"/>
  <c r="F44" i="2" s="1"/>
  <c r="D123" i="1" l="1"/>
  <c r="D124" i="1" s="1"/>
  <c r="E42" i="1"/>
  <c r="F42" i="1" s="1"/>
  <c r="E108" i="1"/>
  <c r="F27" i="2"/>
  <c r="F46" i="2" s="1"/>
  <c r="E46" i="2"/>
  <c r="F33" i="2"/>
  <c r="F52" i="2" s="1"/>
  <c r="E52" i="2"/>
  <c r="F26" i="2"/>
  <c r="F45" i="2" s="1"/>
  <c r="E45" i="2"/>
  <c r="E121" i="1" l="1"/>
  <c r="E123" i="1" l="1"/>
  <c r="E124" i="1" s="1"/>
  <c r="D29" i="3"/>
  <c r="D28" i="3"/>
  <c r="D27" i="3"/>
  <c r="D26" i="3"/>
  <c r="D25" i="3"/>
  <c r="D24" i="3"/>
  <c r="D20" i="3"/>
  <c r="D19" i="3"/>
  <c r="D18" i="3"/>
  <c r="D17" i="3"/>
  <c r="D16" i="3"/>
  <c r="D15" i="3"/>
  <c r="D10" i="8" s="1"/>
  <c r="A33" i="2"/>
  <c r="A52" i="2" s="1"/>
  <c r="A32" i="2"/>
  <c r="A51" i="2" s="1"/>
  <c r="A31" i="2"/>
  <c r="A50" i="2" s="1"/>
  <c r="A28" i="2"/>
  <c r="A47" i="2" s="1"/>
  <c r="A27" i="2"/>
  <c r="A46" i="2" s="1"/>
  <c r="A24" i="2"/>
  <c r="A43" i="2" s="1"/>
  <c r="C23" i="2"/>
  <c r="C42" i="2" s="1"/>
  <c r="A23" i="2"/>
  <c r="A42" i="2" s="1"/>
  <c r="F22" i="2"/>
  <c r="F41" i="2" s="1"/>
  <c r="E22" i="2"/>
  <c r="E41" i="2" s="1"/>
  <c r="D22" i="2"/>
  <c r="D41" i="2" s="1"/>
  <c r="C22" i="2"/>
  <c r="C41" i="2" s="1"/>
  <c r="B22" i="2"/>
  <c r="B41" i="2" s="1"/>
  <c r="F121" i="1" l="1"/>
  <c r="E26" i="3"/>
  <c r="D21" i="8"/>
  <c r="E16" i="3"/>
  <c r="D11" i="8"/>
  <c r="E27" i="3"/>
  <c r="D22" i="8"/>
  <c r="E24" i="3"/>
  <c r="D19" i="8"/>
  <c r="E25" i="3"/>
  <c r="D20" i="8"/>
  <c r="E18" i="3"/>
  <c r="D13" i="8"/>
  <c r="E19" i="3"/>
  <c r="D14" i="8"/>
  <c r="E20" i="3"/>
  <c r="D15" i="8"/>
  <c r="E17" i="3"/>
  <c r="D12" i="8"/>
  <c r="E29" i="3"/>
  <c r="D24" i="8"/>
  <c r="E28" i="3"/>
  <c r="D23" i="8"/>
  <c r="D23" i="2"/>
  <c r="D42" i="2" s="1"/>
  <c r="E15" i="3"/>
  <c r="E10" i="8" s="1"/>
  <c r="F123" i="1" l="1"/>
  <c r="F124" i="1" s="1"/>
  <c r="F24" i="3"/>
  <c r="E19" i="8"/>
  <c r="F19" i="3"/>
  <c r="E14" i="8"/>
  <c r="F18" i="3"/>
  <c r="E13" i="8"/>
  <c r="F16" i="3"/>
  <c r="E11" i="8"/>
  <c r="F20" i="3"/>
  <c r="E15" i="8"/>
  <c r="F27" i="3"/>
  <c r="E22" i="8"/>
  <c r="F25" i="3"/>
  <c r="E20" i="8"/>
  <c r="F26" i="3"/>
  <c r="E21" i="8"/>
  <c r="F17" i="3"/>
  <c r="E12" i="8"/>
  <c r="F29" i="3"/>
  <c r="E24" i="8"/>
  <c r="F28" i="3"/>
  <c r="E23" i="8"/>
  <c r="E23" i="2"/>
  <c r="F15" i="3"/>
  <c r="F10" i="8" s="1"/>
  <c r="G20" i="3" l="1"/>
  <c r="G15" i="8" s="1"/>
  <c r="F15" i="8"/>
  <c r="G26" i="3"/>
  <c r="G21" i="8" s="1"/>
  <c r="F21" i="8"/>
  <c r="G16" i="3"/>
  <c r="G11" i="8" s="1"/>
  <c r="F11" i="8"/>
  <c r="G25" i="3"/>
  <c r="G20" i="8" s="1"/>
  <c r="F20" i="8"/>
  <c r="G18" i="3"/>
  <c r="G13" i="8" s="1"/>
  <c r="F13" i="8"/>
  <c r="G27" i="3"/>
  <c r="G22" i="8" s="1"/>
  <c r="F22" i="8"/>
  <c r="G19" i="3"/>
  <c r="G14" i="8" s="1"/>
  <c r="F14" i="8"/>
  <c r="G24" i="3"/>
  <c r="G19" i="8" s="1"/>
  <c r="F19" i="8"/>
  <c r="G17" i="3"/>
  <c r="G12" i="8" s="1"/>
  <c r="F12" i="8"/>
  <c r="G29" i="3"/>
  <c r="G24" i="8" s="1"/>
  <c r="F24" i="8"/>
  <c r="G28" i="3"/>
  <c r="G23" i="8" s="1"/>
  <c r="F23" i="8"/>
  <c r="F23" i="2"/>
  <c r="F42" i="2" s="1"/>
  <c r="E42" i="2"/>
  <c r="G15" i="3"/>
  <c r="G10" i="8" s="1"/>
  <c r="A126" i="1" l="1"/>
  <c r="F117" i="1"/>
  <c r="E117" i="1"/>
  <c r="D117" i="1"/>
  <c r="C117" i="1"/>
  <c r="F111" i="1"/>
  <c r="E111" i="1"/>
  <c r="D111" i="1"/>
  <c r="C111" i="1"/>
  <c r="B111" i="1"/>
  <c r="A111" i="1"/>
  <c r="F107" i="1"/>
  <c r="E107" i="1"/>
  <c r="D107" i="1"/>
  <c r="C107" i="1"/>
  <c r="B107" i="1"/>
  <c r="B109" i="1" s="1"/>
  <c r="B110" i="1" s="1"/>
  <c r="A107" i="1"/>
  <c r="F103" i="1"/>
  <c r="E103" i="1"/>
  <c r="D103" i="1"/>
  <c r="C103" i="1"/>
  <c r="B103" i="1"/>
  <c r="F101" i="1"/>
  <c r="E101" i="1"/>
  <c r="D101" i="1"/>
  <c r="C101" i="1"/>
  <c r="B101" i="1"/>
  <c r="F126" i="1"/>
  <c r="E126" i="1"/>
  <c r="D126" i="1"/>
  <c r="C126" i="1"/>
  <c r="B126" i="1"/>
  <c r="B128" i="1" s="1"/>
  <c r="C87" i="1"/>
  <c r="C66" i="1"/>
  <c r="C47" i="1"/>
  <c r="D47" i="1" s="1"/>
  <c r="D9" i="1"/>
  <c r="E9" i="1" s="1"/>
  <c r="F9" i="1" s="1"/>
  <c r="B9" i="3" l="1"/>
  <c r="B130" i="1"/>
  <c r="B10" i="3"/>
  <c r="B8" i="5" s="1"/>
  <c r="C8" i="8" s="1"/>
  <c r="D66" i="1"/>
  <c r="C67" i="1"/>
  <c r="C125" i="1" s="1"/>
  <c r="B113" i="1"/>
  <c r="B114" i="1" s="1"/>
  <c r="C15" i="2"/>
  <c r="C50" i="2" s="1"/>
  <c r="C13" i="2"/>
  <c r="C109" i="1"/>
  <c r="C110" i="1" s="1"/>
  <c r="E13" i="2"/>
  <c r="E15" i="2"/>
  <c r="E50" i="2" s="1"/>
  <c r="F13" i="2"/>
  <c r="F15" i="2"/>
  <c r="F50" i="2" s="1"/>
  <c r="D15" i="2"/>
  <c r="D50" i="2" s="1"/>
  <c r="D13" i="2"/>
  <c r="C113" i="1"/>
  <c r="C114" i="1" s="1"/>
  <c r="B15" i="2"/>
  <c r="B50" i="2" s="1"/>
  <c r="B13" i="2"/>
  <c r="D113" i="1"/>
  <c r="D114" i="1" s="1"/>
  <c r="D87" i="1"/>
  <c r="C128" i="1"/>
  <c r="E47" i="1"/>
  <c r="F47" i="1" s="1"/>
  <c r="F113" i="1" s="1"/>
  <c r="F114" i="1" s="1"/>
  <c r="B105" i="1"/>
  <c r="B106" i="1" s="1"/>
  <c r="C9" i="3" l="1"/>
  <c r="C10" i="3" s="1"/>
  <c r="C8" i="5" s="1"/>
  <c r="D8" i="8" s="1"/>
  <c r="D128" i="1"/>
  <c r="E66" i="1"/>
  <c r="D67" i="1"/>
  <c r="D125" i="1" s="1"/>
  <c r="D29" i="1"/>
  <c r="D109" i="1" s="1"/>
  <c r="D110" i="1" s="1"/>
  <c r="B115" i="1"/>
  <c r="B5" i="5" s="1"/>
  <c r="F48" i="2"/>
  <c r="F53" i="2" s="1"/>
  <c r="F54" i="2" s="1"/>
  <c r="F55" i="2" s="1"/>
  <c r="F11" i="5" s="1"/>
  <c r="G9" i="8" s="1"/>
  <c r="F18" i="2"/>
  <c r="G21" i="3" s="1"/>
  <c r="B48" i="2"/>
  <c r="B53" i="2" s="1"/>
  <c r="B54" i="2" s="1"/>
  <c r="B55" i="2" s="1"/>
  <c r="B11" i="5" s="1"/>
  <c r="C9" i="8" s="1"/>
  <c r="B18" i="2"/>
  <c r="C21" i="3" s="1"/>
  <c r="E48" i="2"/>
  <c r="E53" i="2" s="1"/>
  <c r="E54" i="2" s="1"/>
  <c r="E55" i="2" s="1"/>
  <c r="E11" i="5" s="1"/>
  <c r="F9" i="8" s="1"/>
  <c r="E18" i="2"/>
  <c r="F21" i="3" s="1"/>
  <c r="D48" i="2"/>
  <c r="D53" i="2" s="1"/>
  <c r="D54" i="2" s="1"/>
  <c r="D55" i="2" s="1"/>
  <c r="D11" i="5" s="1"/>
  <c r="E9" i="8" s="1"/>
  <c r="D18" i="2"/>
  <c r="E21" i="3" s="1"/>
  <c r="E113" i="1"/>
  <c r="E114" i="1" s="1"/>
  <c r="C48" i="2"/>
  <c r="C53" i="2" s="1"/>
  <c r="C54" i="2" s="1"/>
  <c r="C55" i="2" s="1"/>
  <c r="C11" i="5" s="1"/>
  <c r="D9" i="8" s="1"/>
  <c r="C18" i="2"/>
  <c r="D21" i="3" s="1"/>
  <c r="E87" i="1"/>
  <c r="C116" i="1"/>
  <c r="C118" i="1" s="1"/>
  <c r="B131" i="1"/>
  <c r="C102" i="1"/>
  <c r="C104" i="1" s="1"/>
  <c r="D9" i="3" l="1"/>
  <c r="D10" i="3" s="1"/>
  <c r="D8" i="5" s="1"/>
  <c r="E8" i="8" s="1"/>
  <c r="F66" i="1"/>
  <c r="F67" i="1" s="1"/>
  <c r="F125" i="1" s="1"/>
  <c r="E67" i="1"/>
  <c r="E125" i="1" s="1"/>
  <c r="E29" i="1"/>
  <c r="E109" i="1" s="1"/>
  <c r="E110" i="1" s="1"/>
  <c r="E5" i="6"/>
  <c r="E6" i="6"/>
  <c r="C14" i="7" s="1"/>
  <c r="B6" i="6"/>
  <c r="C11" i="7" s="1"/>
  <c r="B5" i="6"/>
  <c r="C5" i="8"/>
  <c r="B6" i="5"/>
  <c r="C6" i="8" s="1"/>
  <c r="C22" i="3"/>
  <c r="C17" i="8" s="1"/>
  <c r="F6" i="6"/>
  <c r="C15" i="7" s="1"/>
  <c r="H15" i="7" s="1"/>
  <c r="F5" i="6"/>
  <c r="C6" i="6"/>
  <c r="C12" i="7" s="1"/>
  <c r="C5" i="6"/>
  <c r="D5" i="6"/>
  <c r="D6" i="6"/>
  <c r="C13" i="7" s="1"/>
  <c r="F87" i="1"/>
  <c r="E128" i="1"/>
  <c r="C105" i="1"/>
  <c r="C119" i="1"/>
  <c r="C120" i="1" s="1"/>
  <c r="C130" i="1" s="1"/>
  <c r="C30" i="3" l="1"/>
  <c r="B12" i="5" s="1"/>
  <c r="E9" i="3"/>
  <c r="F29" i="1"/>
  <c r="F109" i="1" s="1"/>
  <c r="F110" i="1" s="1"/>
  <c r="F11" i="7"/>
  <c r="D11" i="7"/>
  <c r="E11" i="7"/>
  <c r="E16" i="8"/>
  <c r="F16" i="8"/>
  <c r="D10" i="6"/>
  <c r="D5" i="9" s="1"/>
  <c r="C8" i="7"/>
  <c r="D16" i="8"/>
  <c r="C9" i="7"/>
  <c r="E10" i="6"/>
  <c r="E5" i="9" s="1"/>
  <c r="C16" i="8"/>
  <c r="C25" i="8" s="1"/>
  <c r="C7" i="7"/>
  <c r="C10" i="6"/>
  <c r="C5" i="9" s="1"/>
  <c r="B7" i="5"/>
  <c r="B9" i="5" s="1"/>
  <c r="H14" i="7"/>
  <c r="G14" i="7"/>
  <c r="E12" i="7"/>
  <c r="G12" i="7"/>
  <c r="F12" i="7"/>
  <c r="C7" i="8"/>
  <c r="F10" i="6"/>
  <c r="F5" i="9" s="1"/>
  <c r="C10" i="7"/>
  <c r="H10" i="7" s="1"/>
  <c r="G13" i="7"/>
  <c r="H13" i="7"/>
  <c r="F13" i="7"/>
  <c r="G16" i="8"/>
  <c r="C6" i="7"/>
  <c r="B10" i="6"/>
  <c r="B5" i="9" s="1"/>
  <c r="E10" i="3"/>
  <c r="E8" i="5" s="1"/>
  <c r="F8" i="8" s="1"/>
  <c r="F128" i="1"/>
  <c r="D102" i="1"/>
  <c r="D104" i="1" s="1"/>
  <c r="C106" i="1"/>
  <c r="D116" i="1"/>
  <c r="D118" i="1" s="1"/>
  <c r="F9" i="3" l="1"/>
  <c r="C131" i="1"/>
  <c r="C115" i="1"/>
  <c r="C5" i="5" s="1"/>
  <c r="D5" i="8" s="1"/>
  <c r="D22" i="3"/>
  <c r="D17" i="8" s="1"/>
  <c r="D25" i="8" s="1"/>
  <c r="C26" i="8"/>
  <c r="C27" i="8" s="1"/>
  <c r="B6" i="9" s="1"/>
  <c r="B8" i="9" s="1"/>
  <c r="H9" i="7"/>
  <c r="G9" i="7"/>
  <c r="E7" i="7"/>
  <c r="G7" i="7"/>
  <c r="F7" i="7"/>
  <c r="B13" i="5"/>
  <c r="B10" i="5"/>
  <c r="D6" i="7"/>
  <c r="D18" i="7" s="1"/>
  <c r="B15" i="5" s="1"/>
  <c r="E6" i="7"/>
  <c r="F6" i="7"/>
  <c r="H8" i="7"/>
  <c r="F8" i="7"/>
  <c r="G8" i="7"/>
  <c r="C6" i="5"/>
  <c r="D6" i="8" s="1"/>
  <c r="F10" i="3"/>
  <c r="F8" i="5" s="1"/>
  <c r="G8" i="8" s="1"/>
  <c r="D119" i="1"/>
  <c r="D120" i="1" s="1"/>
  <c r="D130" i="1" s="1"/>
  <c r="D105" i="1"/>
  <c r="D30" i="3" l="1"/>
  <c r="C12" i="5" s="1"/>
  <c r="G18" i="7"/>
  <c r="E15" i="5" s="1"/>
  <c r="H18" i="7"/>
  <c r="F15" i="5" s="1"/>
  <c r="C7" i="5"/>
  <c r="C9" i="5" s="1"/>
  <c r="D7" i="8"/>
  <c r="D26" i="8" s="1"/>
  <c r="D27" i="8" s="1"/>
  <c r="C6" i="9" s="1"/>
  <c r="C8" i="9" s="1"/>
  <c r="E18" i="7"/>
  <c r="C15" i="5" s="1"/>
  <c r="B14" i="5"/>
  <c r="B16" i="5"/>
  <c r="F18" i="7"/>
  <c r="D15" i="5" s="1"/>
  <c r="E102" i="1"/>
  <c r="E104" i="1" s="1"/>
  <c r="D106" i="1"/>
  <c r="E116" i="1"/>
  <c r="E118" i="1" s="1"/>
  <c r="D131" i="1" l="1"/>
  <c r="D115" i="1"/>
  <c r="D5" i="5" s="1"/>
  <c r="E5" i="8" s="1"/>
  <c r="E22" i="3"/>
  <c r="C10" i="5"/>
  <c r="C13" i="5"/>
  <c r="B17" i="5"/>
  <c r="B19" i="5"/>
  <c r="B21" i="5" s="1"/>
  <c r="D6" i="5"/>
  <c r="E6" i="8" s="1"/>
  <c r="E119" i="1"/>
  <c r="E120" i="1" s="1"/>
  <c r="E130" i="1" s="1"/>
  <c r="E105" i="1"/>
  <c r="D7" i="5" l="1"/>
  <c r="D9" i="5" s="1"/>
  <c r="D10" i="5" s="1"/>
  <c r="E7" i="8"/>
  <c r="C14" i="5"/>
  <c r="C16" i="5"/>
  <c r="B20" i="5"/>
  <c r="B22" i="5"/>
  <c r="E17" i="8"/>
  <c r="E25" i="8" s="1"/>
  <c r="E30" i="3"/>
  <c r="D12" i="5" s="1"/>
  <c r="F102" i="1"/>
  <c r="F104" i="1" s="1"/>
  <c r="E106" i="1"/>
  <c r="F116" i="1"/>
  <c r="F118" i="1" s="1"/>
  <c r="E131" i="1" l="1"/>
  <c r="E115" i="1"/>
  <c r="E5" i="5" s="1"/>
  <c r="F5" i="8" s="1"/>
  <c r="E26" i="8"/>
  <c r="E27" i="8" s="1"/>
  <c r="D6" i="9" s="1"/>
  <c r="D8" i="9" s="1"/>
  <c r="D13" i="5"/>
  <c r="D14" i="5" s="1"/>
  <c r="F22" i="3"/>
  <c r="F30" i="3" s="1"/>
  <c r="E12" i="5" s="1"/>
  <c r="B11" i="9"/>
  <c r="B12" i="9" s="1"/>
  <c r="B14" i="9" s="1"/>
  <c r="B15" i="9" s="1"/>
  <c r="C19" i="5"/>
  <c r="C21" i="5" s="1"/>
  <c r="C17" i="5"/>
  <c r="E6" i="5"/>
  <c r="F6" i="8" s="1"/>
  <c r="F119" i="1"/>
  <c r="F120" i="1" s="1"/>
  <c r="F130" i="1" s="1"/>
  <c r="F105" i="1"/>
  <c r="F106" i="1" s="1"/>
  <c r="F131" i="1" l="1"/>
  <c r="F115" i="1"/>
  <c r="F5" i="5" s="1"/>
  <c r="G5" i="8" s="1"/>
  <c r="F17" i="8"/>
  <c r="F25" i="8" s="1"/>
  <c r="D16" i="5"/>
  <c r="D19" i="5" s="1"/>
  <c r="F7" i="8"/>
  <c r="F6" i="5"/>
  <c r="G6" i="8" s="1"/>
  <c r="G22" i="3"/>
  <c r="C20" i="5"/>
  <c r="C22" i="5"/>
  <c r="E7" i="5"/>
  <c r="E9" i="5" s="1"/>
  <c r="F26" i="8" l="1"/>
  <c r="F27" i="8" s="1"/>
  <c r="E6" i="9" s="1"/>
  <c r="E8" i="9" s="1"/>
  <c r="D17" i="5"/>
  <c r="F7" i="5"/>
  <c r="F9" i="5" s="1"/>
  <c r="F10" i="5" s="1"/>
  <c r="G7" i="8"/>
  <c r="E10" i="5"/>
  <c r="E13" i="5"/>
  <c r="C23" i="5"/>
  <c r="C11" i="9"/>
  <c r="C12" i="9" s="1"/>
  <c r="C14" i="9" s="1"/>
  <c r="C15" i="9" s="1"/>
  <c r="G17" i="8"/>
  <c r="G25" i="8" s="1"/>
  <c r="G30" i="3"/>
  <c r="F12" i="5" s="1"/>
  <c r="D21" i="5"/>
  <c r="D22" i="5" s="1"/>
  <c r="D20" i="5"/>
  <c r="F13" i="5" l="1"/>
  <c r="F14" i="5" s="1"/>
  <c r="G26" i="8"/>
  <c r="G27" i="8" s="1"/>
  <c r="F6" i="9" s="1"/>
  <c r="F8" i="9" s="1"/>
  <c r="E14" i="5"/>
  <c r="E16" i="5"/>
  <c r="D23" i="5"/>
  <c r="D11" i="9"/>
  <c r="D12" i="9" s="1"/>
  <c r="D14" i="9" s="1"/>
  <c r="D15" i="9" s="1"/>
  <c r="F16" i="5" l="1"/>
  <c r="F19" i="5" s="1"/>
  <c r="E19" i="5"/>
  <c r="E17" i="5"/>
  <c r="F17" i="5" l="1"/>
  <c r="F21" i="5"/>
  <c r="F22" i="5" s="1"/>
  <c r="F20" i="5"/>
  <c r="E20" i="5"/>
  <c r="E21" i="5"/>
  <c r="E22" i="5" s="1"/>
  <c r="E23" i="5" l="1"/>
  <c r="E11" i="9"/>
  <c r="E12" i="9" s="1"/>
  <c r="E14" i="9" s="1"/>
  <c r="E15" i="9" s="1"/>
  <c r="F11" i="9"/>
  <c r="F12" i="9" s="1"/>
  <c r="F14" i="9" s="1"/>
  <c r="F23" i="5"/>
  <c r="F15" i="9" l="1"/>
</calcChain>
</file>

<file path=xl/sharedStrings.xml><?xml version="1.0" encoding="utf-8"?>
<sst xmlns="http://schemas.openxmlformats.org/spreadsheetml/2006/main" count="305" uniqueCount="170">
  <si>
    <t>Price</t>
  </si>
  <si>
    <t>In KTND</t>
  </si>
  <si>
    <t>Y1</t>
  </si>
  <si>
    <t>Y2</t>
  </si>
  <si>
    <t>Y3</t>
  </si>
  <si>
    <t>Y4</t>
  </si>
  <si>
    <t>Y5</t>
  </si>
  <si>
    <t>Subscription price (small clients)</t>
  </si>
  <si>
    <t>Annual growth rate</t>
  </si>
  <si>
    <t>New clients' acquisition</t>
  </si>
  <si>
    <t>Churn rate</t>
  </si>
  <si>
    <t>Churn rate (small clients)</t>
  </si>
  <si>
    <t>Maintenance fees rate</t>
  </si>
  <si>
    <t>Average licences revenue (maintenance excluded) / big client</t>
  </si>
  <si>
    <t>IGS revenue (saas)</t>
  </si>
  <si>
    <t>IGS revenue (hardware)</t>
  </si>
  <si>
    <t>Number units sold</t>
  </si>
  <si>
    <t>Total revenue</t>
  </si>
  <si>
    <t>Existing recurring clients (small)</t>
  </si>
  <si>
    <t>New recurring clients (small)</t>
  </si>
  <si>
    <t>Churn (small)</t>
  </si>
  <si>
    <t>Total recurring clients (small)</t>
  </si>
  <si>
    <t>Agrimanager saas revenue (small clients )</t>
  </si>
  <si>
    <t>Agrimanager licences revenue excluding maintenance (medium clients)</t>
  </si>
  <si>
    <t>Agrimanager maintenance revenue (medium clients)</t>
  </si>
  <si>
    <t>Agrimanager licences revenue excluding maintenance (big clients)</t>
  </si>
  <si>
    <t>Agrimanager maintenance revenue (big clients)</t>
  </si>
  <si>
    <t>Existing recurring clients (IGS)</t>
  </si>
  <si>
    <t>New recurring clients (IGS)</t>
  </si>
  <si>
    <t>Churn (IGS)</t>
  </si>
  <si>
    <t>Total recurring clients (IGS)</t>
  </si>
  <si>
    <t>STAFF COSTS</t>
  </si>
  <si>
    <t>Staff costs (employees)</t>
  </si>
  <si>
    <t>Staff (employees)</t>
  </si>
  <si>
    <t>In number</t>
  </si>
  <si>
    <t>Total effectif</t>
  </si>
  <si>
    <t>Net wages / Month / Ressource</t>
  </si>
  <si>
    <t>Annual wages increase</t>
  </si>
  <si>
    <t>Number of wages / year</t>
  </si>
  <si>
    <t>Social fees</t>
  </si>
  <si>
    <t>Total net wages</t>
  </si>
  <si>
    <t>OPEX</t>
  </si>
  <si>
    <t>Other OPEX</t>
  </si>
  <si>
    <t>Office rental</t>
  </si>
  <si>
    <t>Custodian</t>
  </si>
  <si>
    <t>Telco fees</t>
  </si>
  <si>
    <t>Energy</t>
  </si>
  <si>
    <t>Fuel</t>
  </si>
  <si>
    <t>IT fees (software &amp; cloud)</t>
  </si>
  <si>
    <t>Accounting fees</t>
  </si>
  <si>
    <t>External audit fees</t>
  </si>
  <si>
    <t>Legal fees</t>
  </si>
  <si>
    <t>Other consulting fees</t>
  </si>
  <si>
    <t>Marketing fees</t>
  </si>
  <si>
    <t>Missions (business trips)</t>
  </si>
  <si>
    <t>Miscellaneous</t>
  </si>
  <si>
    <t>Cost of goods sold (COGS)</t>
  </si>
  <si>
    <t>Total COGS</t>
  </si>
  <si>
    <t>% of COGS (on IGS hardware)</t>
  </si>
  <si>
    <t>COGS hardware IGS</t>
  </si>
  <si>
    <t>REVENUE</t>
  </si>
  <si>
    <t>CEO</t>
  </si>
  <si>
    <t>CTO</t>
  </si>
  <si>
    <t>Account managers</t>
  </si>
  <si>
    <t>Sales Director</t>
  </si>
  <si>
    <t>CM</t>
  </si>
  <si>
    <t>In K$</t>
  </si>
  <si>
    <t>in %</t>
  </si>
  <si>
    <t>in K$</t>
  </si>
  <si>
    <t>Number of setups / client</t>
  </si>
  <si>
    <t>Agrimanager total revenue</t>
  </si>
  <si>
    <t>IGS total revenue</t>
  </si>
  <si>
    <t>New big clients acquisition (Tunisia)</t>
  </si>
  <si>
    <t>New big clients acquisition (Africa)</t>
  </si>
  <si>
    <t>Average licences revenue (maintenance excluded) / big client (Africa)</t>
  </si>
  <si>
    <t>New medium clients acquisition (Tunisia)</t>
  </si>
  <si>
    <t>New medium clients acquisition (Africa)</t>
  </si>
  <si>
    <t>Average licences revenue (maintenance excluded) / medium client (Africa)</t>
  </si>
  <si>
    <t>Average licences revenue (maintenance excluded) / medium client (Tunisia)</t>
  </si>
  <si>
    <t>Marketer</t>
  </si>
  <si>
    <t>CFO</t>
  </si>
  <si>
    <t>New clients acquisition (small clients) (Tunisia &amp; Africa)</t>
  </si>
  <si>
    <t>Integration developers</t>
  </si>
  <si>
    <t>Software developers</t>
  </si>
  <si>
    <t>Technicians (Hardware)</t>
  </si>
  <si>
    <t>Total staff costs</t>
  </si>
  <si>
    <t>Car rental</t>
  </si>
  <si>
    <t>Based on staff</t>
  </si>
  <si>
    <t>Based on saas (8% of saas revenue)</t>
  </si>
  <si>
    <t>Income statement</t>
  </si>
  <si>
    <t>TOTAL REVENUE</t>
  </si>
  <si>
    <t>Cost of goods sold</t>
  </si>
  <si>
    <t>GROSS MARGIN</t>
  </si>
  <si>
    <t>Gross margin / revenue</t>
  </si>
  <si>
    <t>Staff cost</t>
  </si>
  <si>
    <t>EBITDA</t>
  </si>
  <si>
    <t>EBITDA / revenue</t>
  </si>
  <si>
    <t>Amortization</t>
  </si>
  <si>
    <t>EBIT</t>
  </si>
  <si>
    <t>EBIT / revenue</t>
  </si>
  <si>
    <t>Interest</t>
  </si>
  <si>
    <t>EARNINGS BEFORE TAX</t>
  </si>
  <si>
    <t>EBT/Turnover</t>
  </si>
  <si>
    <t>Corporate tax</t>
  </si>
  <si>
    <t>Net earnings/Turnover</t>
  </si>
  <si>
    <t>Agrimanager</t>
  </si>
  <si>
    <t>IGS</t>
  </si>
  <si>
    <t>NET INCOME</t>
  </si>
  <si>
    <t>IT equipment</t>
  </si>
  <si>
    <t>CAPEX</t>
  </si>
  <si>
    <t>WCR</t>
  </si>
  <si>
    <t>Office funiture</t>
  </si>
  <si>
    <t>Office supplies</t>
  </si>
  <si>
    <t>UX/UI redesign</t>
  </si>
  <si>
    <t>Website refactoring and marketing material</t>
  </si>
  <si>
    <t>Amortization rate</t>
  </si>
  <si>
    <t>Value</t>
  </si>
  <si>
    <t>Total amortization</t>
  </si>
  <si>
    <t>AMORTIZATIONs</t>
  </si>
  <si>
    <t>IT equipment Y1</t>
  </si>
  <si>
    <t>IT equipment Y2</t>
  </si>
  <si>
    <t>IT equipment Y3</t>
  </si>
  <si>
    <t>IT equipment Y4</t>
  </si>
  <si>
    <t>IT equipment Y5</t>
  </si>
  <si>
    <t>Office furniture Y1</t>
  </si>
  <si>
    <t>Office furniture Y2</t>
  </si>
  <si>
    <t>Office furniture Y3</t>
  </si>
  <si>
    <t>Office furniture Y4</t>
  </si>
  <si>
    <t>Payment period in month</t>
  </si>
  <si>
    <t>Current assets</t>
  </si>
  <si>
    <t>Current liabilities</t>
  </si>
  <si>
    <t>Changes in WCR</t>
  </si>
  <si>
    <t>In K$ (except payment period)</t>
  </si>
  <si>
    <t>Debt reimbursement</t>
  </si>
  <si>
    <t>Utilzations</t>
  </si>
  <si>
    <t>Debt</t>
  </si>
  <si>
    <t>Cash flows</t>
  </si>
  <si>
    <t>Ressources</t>
  </si>
  <si>
    <t>Cash</t>
  </si>
  <si>
    <t>Cumulated cash</t>
  </si>
  <si>
    <t xml:space="preserve">Cash flow statement </t>
  </si>
  <si>
    <t>Change in WCR</t>
  </si>
  <si>
    <t>Capital increase</t>
  </si>
  <si>
    <t>robotic mechanical equipment</t>
  </si>
  <si>
    <t xml:space="preserve">Embedded/Mecatronic  developers </t>
  </si>
  <si>
    <t>In  K$</t>
  </si>
  <si>
    <t>Agrimanager revenue (small clients &lt;5Ha : saas)</t>
  </si>
  <si>
    <t>Le prix pour small 200 DT /Ha par année moyenne de 3Ha par client</t>
  </si>
  <si>
    <t>6 nouveaux client par mois 1ere année</t>
  </si>
  <si>
    <t>50% de croissane annuelle en terme de nbr de clients</t>
  </si>
  <si>
    <t>taux d'abondant des abonnements</t>
  </si>
  <si>
    <t>Agrimanager revenue (20 &gt; medium clients : &gt; 5 ha perpetual licence)</t>
  </si>
  <si>
    <t>en moyenne 15Ha pour les mediums</t>
  </si>
  <si>
    <t>200Dt/Ha * 15Ha * 5 ans</t>
  </si>
  <si>
    <t>Agrimanager revenue (big clients&gt;20ha : perpetual licence)</t>
  </si>
  <si>
    <t>100 dt par ha * 15 ha en moyenne cible medium</t>
  </si>
  <si>
    <t xml:space="preserve">Subscription price Africa </t>
  </si>
  <si>
    <t>Subscription price Tunisia</t>
  </si>
  <si>
    <t>New clients acquisition Africa</t>
  </si>
  <si>
    <t>New clients acquisition Tunisia</t>
  </si>
  <si>
    <t>taux ce conversion de client AgriM vers IGS</t>
  </si>
  <si>
    <t>appliqué sur les nouvelles aquisitions</t>
  </si>
  <si>
    <t>IGS revenue Tunisie (saas)</t>
  </si>
  <si>
    <t>IGS revenue Africa (saas)</t>
  </si>
  <si>
    <t>Number of setups Tunisia</t>
  </si>
  <si>
    <t>Number of setups Africa</t>
  </si>
  <si>
    <t>IGS hardware revenue Tunisia</t>
  </si>
  <si>
    <t>IGS hardware revenue Africa</t>
  </si>
  <si>
    <t>Average hardware price / setup Tunisia</t>
  </si>
  <si>
    <t>Average hardware price / setup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</si>
</sst>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_-* #,##0.000\ _D_T_-;\-* #,##0.000\ _D_T_-;_-* &quot;-&quot;??\ _D_T_-;_-@_-"/>
    <numFmt numFmtId="166" formatCode="_-* #,##0\ _D_T_-;\-* #,##0\ _D_T_-;_-* &quot;-&quot;??\ _D_T_-;_-@_-"/>
    <numFmt numFmtId="167" formatCode="_-* #,##0.000\ _€_-;\-* #,##0.000\ _€_-;_-* &quot;-&quot;??\ _€_-;_-@_-"/>
    <numFmt numFmtId="168" formatCode="_-* #,##0\ _€_-;\-* #,##0\ _€_-;_-* &quot;-&quot;??\ _€_-;_-@_-"/>
    <numFmt numFmtId="169" formatCode="_-* #,##0.00\ _D_T_-;\-* #,##0.00\ _D_T_-;_-* &quot;-&quot;??\ _D_T_-;_-@_-"/>
    <numFmt numFmtId="170" formatCode="_-* #,##0.000\ _€_-;\-* #,##0.000\ _€_-;_-* &quot;-&quot;???\ _€_-;_-@_-"/>
    <numFmt numFmtId="171" formatCode="_-* #,##0.0\ _D_T_-;\-* #,##0.0\ _D_T_-;_-* &quot;-&quot;??\ _D_T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Overpass"/>
    </font>
    <font>
      <sz val="9"/>
      <color theme="1"/>
      <name val="Overpass"/>
    </font>
    <font>
      <b/>
      <sz val="9"/>
      <color theme="1"/>
      <name val="Overpass"/>
    </font>
    <font>
      <b/>
      <sz val="9"/>
      <name val="Overpass"/>
    </font>
    <font>
      <b/>
      <i/>
      <sz val="9"/>
      <color theme="0"/>
      <name val="Overpass"/>
    </font>
    <font>
      <sz val="9"/>
      <color theme="0"/>
      <name val="Overpass"/>
    </font>
    <font>
      <sz val="9"/>
      <name val="Overpass"/>
    </font>
    <font>
      <sz val="11"/>
      <color theme="1"/>
      <name val="Overpass"/>
    </font>
    <font>
      <i/>
      <sz val="8"/>
      <name val="Overpass"/>
    </font>
    <font>
      <sz val="8"/>
      <color theme="1"/>
      <name val="Overpass"/>
    </font>
    <font>
      <b/>
      <i/>
      <sz val="8"/>
      <color theme="0"/>
      <name val="Overpass"/>
    </font>
    <font>
      <b/>
      <sz val="8"/>
      <color theme="0"/>
      <name val="Overpass"/>
    </font>
    <font>
      <sz val="8"/>
      <name val="Overpass"/>
    </font>
    <font>
      <b/>
      <sz val="8"/>
      <color theme="1"/>
      <name val="Overpass"/>
    </font>
    <font>
      <sz val="8"/>
      <color theme="0"/>
      <name val="Overpass"/>
    </font>
    <font>
      <b/>
      <sz val="8"/>
      <name val="Overpass"/>
    </font>
    <font>
      <sz val="8"/>
      <color rgb="FF000000"/>
      <name val="Overpass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CB5E3"/>
        <bgColor indexed="64"/>
      </patternFill>
    </fill>
    <fill>
      <patternFill patternType="solid">
        <fgColor rgb="FF9DD32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07">
    <xf numFmtId="0" fontId="0" fillId="0" borderId="0" xfId="0"/>
    <xf numFmtId="20" fontId="0" fillId="0" borderId="0" xfId="0" applyNumberFormat="1"/>
    <xf numFmtId="0" fontId="3" fillId="8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9" fontId="4" fillId="0" borderId="0" xfId="2" applyFont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166" fontId="4" fillId="3" borderId="0" xfId="1" applyNumberFormat="1" applyFont="1" applyFill="1" applyAlignment="1">
      <alignment vertical="center"/>
    </xf>
    <xf numFmtId="0" fontId="8" fillId="7" borderId="0" xfId="0" applyFont="1" applyFill="1" applyAlignment="1">
      <alignment vertical="center"/>
    </xf>
    <xf numFmtId="9" fontId="8" fillId="7" borderId="0" xfId="2" applyFont="1" applyFill="1" applyAlignment="1">
      <alignment vertical="center"/>
    </xf>
    <xf numFmtId="9" fontId="4" fillId="3" borderId="0" xfId="2" applyFont="1" applyFill="1" applyAlignment="1">
      <alignment horizontal="center" vertical="center"/>
    </xf>
    <xf numFmtId="166" fontId="4" fillId="5" borderId="0" xfId="1" applyNumberFormat="1" applyFont="1" applyFill="1" applyAlignment="1">
      <alignment vertical="center"/>
    </xf>
    <xf numFmtId="9" fontId="4" fillId="0" borderId="0" xfId="2" applyFont="1" applyFill="1" applyAlignment="1">
      <alignment vertical="center"/>
    </xf>
    <xf numFmtId="168" fontId="4" fillId="5" borderId="0" xfId="1" applyNumberFormat="1" applyFont="1" applyFill="1" applyAlignment="1">
      <alignment vertical="center"/>
    </xf>
    <xf numFmtId="165" fontId="4" fillId="5" borderId="0" xfId="1" applyNumberFormat="1" applyFont="1" applyFill="1" applyAlignment="1">
      <alignment vertical="center"/>
    </xf>
    <xf numFmtId="166" fontId="4" fillId="0" borderId="0" xfId="0" applyNumberFormat="1" applyFont="1" applyAlignment="1">
      <alignment vertical="center"/>
    </xf>
    <xf numFmtId="166" fontId="4" fillId="5" borderId="0" xfId="0" applyNumberFormat="1" applyFont="1" applyFill="1" applyAlignment="1">
      <alignment vertical="center"/>
    </xf>
    <xf numFmtId="166" fontId="4" fillId="3" borderId="0" xfId="0" applyNumberFormat="1" applyFont="1" applyFill="1" applyAlignment="1">
      <alignment vertical="center"/>
    </xf>
    <xf numFmtId="0" fontId="5" fillId="6" borderId="0" xfId="0" applyFont="1" applyFill="1" applyAlignment="1">
      <alignment vertical="center"/>
    </xf>
    <xf numFmtId="166" fontId="5" fillId="6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166" fontId="9" fillId="5" borderId="0" xfId="0" applyNumberFormat="1" applyFont="1" applyFill="1" applyAlignment="1">
      <alignment vertical="center"/>
    </xf>
    <xf numFmtId="166" fontId="4" fillId="0" borderId="0" xfId="2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10" fillId="0" borderId="0" xfId="0" applyFont="1"/>
    <xf numFmtId="0" fontId="11" fillId="2" borderId="0" xfId="0" applyFont="1" applyFill="1" applyAlignment="1">
      <alignment vertical="center"/>
    </xf>
    <xf numFmtId="9" fontId="11" fillId="2" borderId="0" xfId="2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5" fillId="9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66" fontId="5" fillId="9" borderId="0" xfId="0" applyNumberFormat="1" applyFont="1" applyFill="1" applyAlignment="1">
      <alignment vertical="center"/>
    </xf>
    <xf numFmtId="0" fontId="7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vertical="center"/>
    </xf>
    <xf numFmtId="166" fontId="3" fillId="10" borderId="0" xfId="1" applyNumberFormat="1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167" fontId="12" fillId="5" borderId="0" xfId="1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166" fontId="12" fillId="5" borderId="0" xfId="1" applyNumberFormat="1" applyFont="1" applyFill="1" applyAlignment="1">
      <alignment vertical="center"/>
    </xf>
    <xf numFmtId="0" fontId="13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3" fontId="12" fillId="3" borderId="0" xfId="0" applyNumberFormat="1" applyFont="1" applyFill="1" applyAlignment="1">
      <alignment vertical="center"/>
    </xf>
    <xf numFmtId="166" fontId="15" fillId="3" borderId="0" xfId="3" applyNumberFormat="1" applyFont="1" applyFill="1" applyBorder="1" applyAlignment="1">
      <alignment horizontal="center" vertical="center"/>
    </xf>
    <xf numFmtId="3" fontId="12" fillId="5" borderId="0" xfId="0" applyNumberFormat="1" applyFont="1" applyFill="1" applyAlignment="1">
      <alignment vertical="center"/>
    </xf>
    <xf numFmtId="166" fontId="15" fillId="5" borderId="0" xfId="3" applyNumberFormat="1" applyFont="1" applyFill="1" applyBorder="1" applyAlignment="1">
      <alignment horizontal="center" vertical="center"/>
    </xf>
    <xf numFmtId="0" fontId="16" fillId="9" borderId="0" xfId="0" applyFont="1" applyFill="1" applyAlignment="1">
      <alignment vertical="center"/>
    </xf>
    <xf numFmtId="166" fontId="16" fillId="9" borderId="0" xfId="3" applyNumberFormat="1" applyFont="1" applyFill="1" applyBorder="1" applyAlignment="1">
      <alignment horizontal="center" vertical="center"/>
    </xf>
    <xf numFmtId="3" fontId="17" fillId="8" borderId="0" xfId="0" applyNumberFormat="1" applyFont="1" applyFill="1" applyAlignment="1">
      <alignment vertical="center"/>
    </xf>
    <xf numFmtId="166" fontId="17" fillId="8" borderId="0" xfId="3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166" fontId="18" fillId="3" borderId="0" xfId="3" applyNumberFormat="1" applyFont="1" applyFill="1" applyBorder="1" applyAlignment="1">
      <alignment horizontal="center" vertical="center"/>
    </xf>
    <xf numFmtId="0" fontId="14" fillId="10" borderId="0" xfId="0" applyFont="1" applyFill="1" applyAlignment="1">
      <alignment vertical="center"/>
    </xf>
    <xf numFmtId="166" fontId="14" fillId="10" borderId="0" xfId="3" applyNumberFormat="1" applyFont="1" applyFill="1" applyBorder="1" applyAlignment="1">
      <alignment horizontal="center" vertical="center"/>
    </xf>
    <xf numFmtId="3" fontId="14" fillId="10" borderId="0" xfId="0" applyNumberFormat="1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12" fillId="0" borderId="0" xfId="0" applyFont="1"/>
    <xf numFmtId="3" fontId="12" fillId="3" borderId="0" xfId="0" applyNumberFormat="1" applyFont="1" applyFill="1" applyAlignment="1">
      <alignment horizontal="left" vertical="center"/>
    </xf>
    <xf numFmtId="0" fontId="16" fillId="9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166" fontId="12" fillId="3" borderId="0" xfId="3" applyNumberFormat="1" applyFont="1" applyFill="1" applyBorder="1" applyAlignment="1">
      <alignment horizontal="left" vertical="center"/>
    </xf>
    <xf numFmtId="0" fontId="16" fillId="4" borderId="0" xfId="0" applyFont="1" applyFill="1" applyAlignment="1">
      <alignment vertical="center"/>
    </xf>
    <xf numFmtId="166" fontId="16" fillId="4" borderId="0" xfId="3" applyNumberFormat="1" applyFont="1" applyFill="1" applyBorder="1" applyAlignment="1">
      <alignment horizontal="center" vertical="center"/>
    </xf>
    <xf numFmtId="166" fontId="12" fillId="3" borderId="0" xfId="3" applyNumberFormat="1" applyFont="1" applyFill="1" applyAlignment="1">
      <alignment vertical="center"/>
    </xf>
    <xf numFmtId="0" fontId="16" fillId="9" borderId="0" xfId="0" applyFont="1" applyFill="1" applyAlignment="1">
      <alignment horizontal="left" vertical="center" wrapText="1"/>
    </xf>
    <xf numFmtId="0" fontId="14" fillId="10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9" fillId="5" borderId="0" xfId="0" applyFont="1" applyFill="1" applyAlignment="1">
      <alignment horizontal="left" vertical="center"/>
    </xf>
    <xf numFmtId="166" fontId="12" fillId="5" borderId="0" xfId="3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166" fontId="12" fillId="3" borderId="0" xfId="3" applyNumberFormat="1" applyFont="1" applyFill="1" applyBorder="1" applyAlignment="1">
      <alignment horizontal="center" vertical="center"/>
    </xf>
    <xf numFmtId="170" fontId="12" fillId="5" borderId="0" xfId="0" applyNumberFormat="1" applyFont="1" applyFill="1" applyAlignment="1">
      <alignment vertical="center"/>
    </xf>
    <xf numFmtId="170" fontId="12" fillId="3" borderId="0" xfId="0" applyNumberFormat="1" applyFont="1" applyFill="1" applyAlignment="1">
      <alignment vertical="center"/>
    </xf>
    <xf numFmtId="170" fontId="12" fillId="0" borderId="0" xfId="0" applyNumberFormat="1" applyFont="1" applyAlignment="1">
      <alignment vertical="center"/>
    </xf>
    <xf numFmtId="0" fontId="19" fillId="5" borderId="0" xfId="0" applyFont="1" applyFill="1" applyAlignment="1">
      <alignment vertical="center"/>
    </xf>
    <xf numFmtId="9" fontId="12" fillId="5" borderId="0" xfId="0" applyNumberFormat="1" applyFont="1" applyFill="1" applyAlignment="1">
      <alignment vertical="center"/>
    </xf>
    <xf numFmtId="168" fontId="12" fillId="5" borderId="0" xfId="1" applyNumberFormat="1" applyFont="1" applyFill="1" applyBorder="1" applyAlignment="1">
      <alignment vertical="center"/>
    </xf>
    <xf numFmtId="166" fontId="12" fillId="0" borderId="0" xfId="3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9" fontId="12" fillId="5" borderId="0" xfId="2" applyFont="1" applyFill="1" applyBorder="1" applyAlignment="1">
      <alignment vertical="center"/>
    </xf>
    <xf numFmtId="168" fontId="12" fillId="5" borderId="0" xfId="1" applyNumberFormat="1" applyFont="1" applyFill="1" applyAlignment="1">
      <alignment vertical="center"/>
    </xf>
    <xf numFmtId="168" fontId="14" fillId="10" borderId="0" xfId="1" applyNumberFormat="1" applyFont="1" applyFill="1" applyAlignment="1">
      <alignment vertical="center"/>
    </xf>
    <xf numFmtId="9" fontId="12" fillId="9" borderId="0" xfId="0" applyNumberFormat="1" applyFont="1" applyFill="1" applyAlignment="1">
      <alignment horizontal="center" vertical="center"/>
    </xf>
    <xf numFmtId="166" fontId="12" fillId="5" borderId="0" xfId="1" applyNumberFormat="1" applyFont="1" applyFill="1" applyBorder="1" applyAlignment="1">
      <alignment horizontal="center" vertical="center"/>
    </xf>
    <xf numFmtId="166" fontId="12" fillId="3" borderId="0" xfId="1" applyNumberFormat="1" applyFont="1" applyFill="1" applyBorder="1" applyAlignment="1">
      <alignment horizontal="center" vertical="center"/>
    </xf>
    <xf numFmtId="166" fontId="14" fillId="10" borderId="0" xfId="1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166" fontId="12" fillId="3" borderId="0" xfId="3" applyNumberFormat="1" applyFont="1" applyFill="1" applyBorder="1" applyAlignment="1">
      <alignment vertical="center"/>
    </xf>
    <xf numFmtId="171" fontId="12" fillId="0" borderId="0" xfId="0" applyNumberFormat="1" applyFont="1" applyAlignment="1">
      <alignment vertical="center"/>
    </xf>
    <xf numFmtId="9" fontId="12" fillId="5" borderId="0" xfId="2" applyFont="1" applyFill="1" applyBorder="1" applyAlignment="1">
      <alignment horizontal="right" vertical="center"/>
    </xf>
    <xf numFmtId="166" fontId="12" fillId="5" borderId="0" xfId="3" applyNumberFormat="1" applyFont="1" applyFill="1" applyBorder="1" applyAlignment="1">
      <alignment horizontal="right" vertical="center"/>
    </xf>
    <xf numFmtId="9" fontId="12" fillId="3" borderId="0" xfId="2" applyFont="1" applyFill="1" applyBorder="1" applyAlignment="1">
      <alignment horizontal="right" vertical="center"/>
    </xf>
    <xf numFmtId="166" fontId="12" fillId="3" borderId="0" xfId="3" applyNumberFormat="1" applyFont="1" applyFill="1" applyBorder="1" applyAlignment="1">
      <alignment horizontal="right" vertical="center"/>
    </xf>
    <xf numFmtId="0" fontId="17" fillId="11" borderId="0" xfId="0" applyFont="1" applyFill="1" applyAlignment="1">
      <alignment vertical="center"/>
    </xf>
    <xf numFmtId="9" fontId="17" fillId="11" borderId="0" xfId="2" applyFont="1" applyFill="1" applyAlignment="1">
      <alignment vertical="center"/>
    </xf>
    <xf numFmtId="0" fontId="8" fillId="0" borderId="0" xfId="0" applyFont="1" applyAlignment="1">
      <alignment vertical="center"/>
    </xf>
    <xf numFmtId="9" fontId="8" fillId="0" borderId="0" xfId="2" applyFont="1" applyFill="1" applyAlignment="1">
      <alignment vertical="center"/>
    </xf>
    <xf numFmtId="0" fontId="14" fillId="10" borderId="0" xfId="0" applyFont="1" applyFill="1" applyAlignment="1">
      <alignment vertical="center"/>
    </xf>
    <xf numFmtId="9" fontId="4" fillId="3" borderId="0" xfId="0" applyNumberFormat="1" applyFont="1" applyFill="1" applyAlignment="1">
      <alignment vertical="center"/>
    </xf>
    <xf numFmtId="166" fontId="4" fillId="0" borderId="0" xfId="2" applyNumberFormat="1" applyFont="1" applyFill="1" applyAlignment="1">
      <alignment vertical="center"/>
    </xf>
    <xf numFmtId="166" fontId="4" fillId="3" borderId="0" xfId="2" applyNumberFormat="1" applyFont="1" applyFill="1" applyAlignment="1">
      <alignment horizontal="center" vertical="center"/>
    </xf>
  </cellXfs>
  <cellStyles count="4">
    <cellStyle name="Comma 2" xfId="3" xr:uid="{00000000-0005-0000-0000-000001000000}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3CB5E3"/>
      <color rgb="FF9DD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rekAymen_x2cqx2d/Dropbox/Partage%20Business%20Center/Portefeuille/CI/CI%2005.2018/Investment%20note%20Ezzayra%20IC%2005.2018/BP%20ezzayra%2005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ment &amp; funding"/>
      <sheetName val="Turnover"/>
      <sheetName val="Personnel costs"/>
      <sheetName val="Opex"/>
      <sheetName val="Amortization"/>
      <sheetName val="WCR"/>
      <sheetName val="Cash flow statement"/>
      <sheetName val="Beta adjustment"/>
      <sheetName val="DCF (adjusted Beta)"/>
      <sheetName val="Deal"/>
      <sheetName val="Graph"/>
    </sheetNames>
    <sheetDataSet>
      <sheetData sheetId="0" refreshError="1">
        <row r="17">
          <cell r="E1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32"/>
  <sheetViews>
    <sheetView topLeftCell="A105" zoomScale="150" zoomScaleNormal="130" workbookViewId="0">
      <selection activeCell="B59" sqref="B59"/>
    </sheetView>
  </sheetViews>
  <sheetFormatPr baseColWidth="10" defaultColWidth="9.140625" defaultRowHeight="12"/>
  <cols>
    <col min="1" max="1" width="61.7109375" style="3" bestFit="1" customWidth="1"/>
    <col min="2" max="5" width="9.28515625" style="3" bestFit="1" customWidth="1"/>
    <col min="6" max="6" width="10.140625" style="3" bestFit="1" customWidth="1"/>
    <col min="7" max="7" width="8.42578125" style="3" bestFit="1" customWidth="1"/>
    <col min="8" max="8" width="10.85546875" style="3" customWidth="1"/>
    <col min="9" max="16384" width="9.140625" style="3"/>
  </cols>
  <sheetData>
    <row r="2" spans="1:8">
      <c r="A2" s="35" t="s">
        <v>60</v>
      </c>
    </row>
    <row r="3" spans="1:8">
      <c r="A3" s="4"/>
    </row>
    <row r="4" spans="1:8">
      <c r="A4" s="30" t="s">
        <v>146</v>
      </c>
    </row>
    <row r="5" spans="1:8">
      <c r="A5" s="4"/>
    </row>
    <row r="6" spans="1:8">
      <c r="A6" s="5" t="s">
        <v>0</v>
      </c>
      <c r="C6" s="6"/>
    </row>
    <row r="7" spans="1:8">
      <c r="A7" s="4"/>
      <c r="C7" s="6"/>
    </row>
    <row r="8" spans="1:8">
      <c r="A8" s="33" t="s">
        <v>68</v>
      </c>
      <c r="B8" s="34" t="s">
        <v>2</v>
      </c>
      <c r="C8" s="34" t="s">
        <v>3</v>
      </c>
      <c r="D8" s="34" t="s">
        <v>4</v>
      </c>
      <c r="E8" s="34" t="s">
        <v>5</v>
      </c>
      <c r="F8" s="34" t="s">
        <v>6</v>
      </c>
    </row>
    <row r="9" spans="1:8">
      <c r="A9" s="37" t="s">
        <v>7</v>
      </c>
      <c r="B9" s="38">
        <v>0.6</v>
      </c>
      <c r="C9" s="38">
        <f>B9*(1+C10)</f>
        <v>0.63</v>
      </c>
      <c r="D9" s="38">
        <f>C9*(1+D10)</f>
        <v>0.66150000000000009</v>
      </c>
      <c r="E9" s="38">
        <f>D9*(1+E10)</f>
        <v>0.69457500000000016</v>
      </c>
      <c r="F9" s="38">
        <f>E9*(1+F10)</f>
        <v>0.72930375000000025</v>
      </c>
      <c r="H9" s="3" t="s">
        <v>147</v>
      </c>
    </row>
    <row r="10" spans="1:8" s="8" customFormat="1">
      <c r="A10" s="10" t="s">
        <v>8</v>
      </c>
      <c r="B10" s="11">
        <v>0</v>
      </c>
      <c r="C10" s="11">
        <v>0.05</v>
      </c>
      <c r="D10" s="11">
        <v>0.05</v>
      </c>
      <c r="E10" s="11">
        <v>0.05</v>
      </c>
      <c r="F10" s="11">
        <v>0.05</v>
      </c>
    </row>
    <row r="11" spans="1:8" s="8" customFormat="1">
      <c r="B11" s="12"/>
      <c r="C11" s="12"/>
      <c r="D11" s="12"/>
      <c r="E11" s="12"/>
      <c r="F11" s="12"/>
    </row>
    <row r="12" spans="1:8" s="8" customFormat="1">
      <c r="A12" s="5" t="s">
        <v>9</v>
      </c>
      <c r="B12" s="12"/>
      <c r="C12" s="12"/>
      <c r="D12" s="12"/>
      <c r="E12" s="12"/>
      <c r="F12" s="12"/>
    </row>
    <row r="13" spans="1:8" s="8" customFormat="1">
      <c r="B13" s="12"/>
      <c r="C13" s="12"/>
      <c r="D13" s="12"/>
      <c r="E13" s="12"/>
      <c r="F13" s="12"/>
    </row>
    <row r="14" spans="1:8" s="8" customFormat="1">
      <c r="A14" s="33"/>
      <c r="B14" s="34" t="s">
        <v>2</v>
      </c>
      <c r="C14" s="34" t="s">
        <v>3</v>
      </c>
      <c r="D14" s="34" t="s">
        <v>4</v>
      </c>
      <c r="E14" s="34" t="s">
        <v>5</v>
      </c>
      <c r="F14" s="34" t="s">
        <v>6</v>
      </c>
    </row>
    <row r="15" spans="1:8" s="8" customFormat="1">
      <c r="A15" s="37" t="s">
        <v>81</v>
      </c>
      <c r="B15" s="40">
        <f>6*12</f>
        <v>72</v>
      </c>
      <c r="C15" s="40">
        <f>ROUND(B15*(1+C16),0)</f>
        <v>101</v>
      </c>
      <c r="D15" s="40">
        <f t="shared" ref="D15:F15" si="0">ROUND(C15*(1+D16),0)</f>
        <v>152</v>
      </c>
      <c r="E15" s="40">
        <f t="shared" si="0"/>
        <v>243</v>
      </c>
      <c r="F15" s="40">
        <f t="shared" si="0"/>
        <v>413</v>
      </c>
      <c r="H15" s="8" t="s">
        <v>148</v>
      </c>
    </row>
    <row r="16" spans="1:8" s="8" customFormat="1">
      <c r="A16" s="99" t="s">
        <v>8</v>
      </c>
      <c r="B16" s="100">
        <v>0</v>
      </c>
      <c r="C16" s="100">
        <v>0.4</v>
      </c>
      <c r="D16" s="100">
        <v>0.5</v>
      </c>
      <c r="E16" s="100">
        <v>0.6</v>
      </c>
      <c r="F16" s="100">
        <v>0.7</v>
      </c>
      <c r="H16" s="104" t="s">
        <v>149</v>
      </c>
    </row>
    <row r="17" spans="1:8">
      <c r="B17" s="14"/>
      <c r="C17" s="14"/>
      <c r="D17" s="14"/>
      <c r="E17" s="14"/>
      <c r="F17" s="14"/>
    </row>
    <row r="18" spans="1:8" s="8" customFormat="1">
      <c r="A18" s="5" t="s">
        <v>10</v>
      </c>
      <c r="B18" s="3"/>
      <c r="C18" s="6"/>
      <c r="D18" s="3"/>
      <c r="E18" s="3"/>
      <c r="F18" s="3"/>
    </row>
    <row r="19" spans="1:8" s="8" customFormat="1">
      <c r="A19" s="4"/>
      <c r="B19" s="3"/>
      <c r="C19" s="6"/>
      <c r="D19" s="3"/>
      <c r="E19" s="3"/>
      <c r="F19" s="3"/>
    </row>
    <row r="20" spans="1:8" s="8" customFormat="1">
      <c r="A20" s="33" t="s">
        <v>67</v>
      </c>
      <c r="B20" s="34" t="s">
        <v>2</v>
      </c>
      <c r="C20" s="34" t="s">
        <v>3</v>
      </c>
      <c r="D20" s="34" t="s">
        <v>4</v>
      </c>
      <c r="E20" s="34" t="s">
        <v>5</v>
      </c>
      <c r="F20" s="34" t="s">
        <v>6</v>
      </c>
    </row>
    <row r="21" spans="1:8" s="8" customFormat="1">
      <c r="A21" s="10" t="s">
        <v>11</v>
      </c>
      <c r="B21" s="11">
        <v>0.03</v>
      </c>
      <c r="C21" s="11">
        <v>0.03</v>
      </c>
      <c r="D21" s="11">
        <v>0.03</v>
      </c>
      <c r="E21" s="11">
        <v>0.03</v>
      </c>
      <c r="F21" s="11">
        <v>0.03</v>
      </c>
      <c r="H21" s="8" t="s">
        <v>150</v>
      </c>
    </row>
    <row r="22" spans="1:8" s="8" customFormat="1">
      <c r="B22" s="12"/>
      <c r="C22" s="12"/>
      <c r="D22" s="12"/>
      <c r="E22" s="12"/>
      <c r="F22" s="12"/>
    </row>
    <row r="23" spans="1:8" s="8" customFormat="1">
      <c r="A23" s="30" t="s">
        <v>151</v>
      </c>
      <c r="B23" s="3"/>
      <c r="C23" s="12"/>
      <c r="D23" s="12"/>
      <c r="E23" s="12"/>
      <c r="F23" s="12"/>
    </row>
    <row r="24" spans="1:8" s="8" customFormat="1">
      <c r="A24" s="4"/>
      <c r="B24" s="3"/>
      <c r="C24" s="12"/>
      <c r="D24" s="12"/>
      <c r="E24" s="12"/>
      <c r="F24" s="12"/>
    </row>
    <row r="25" spans="1:8">
      <c r="A25" s="5" t="s">
        <v>0</v>
      </c>
      <c r="C25" s="6"/>
    </row>
    <row r="26" spans="1:8">
      <c r="A26" s="4"/>
      <c r="C26" s="6"/>
    </row>
    <row r="27" spans="1:8">
      <c r="A27" s="33" t="s">
        <v>66</v>
      </c>
      <c r="B27" s="34" t="s">
        <v>2</v>
      </c>
      <c r="C27" s="34" t="s">
        <v>3</v>
      </c>
      <c r="D27" s="34" t="s">
        <v>4</v>
      </c>
      <c r="E27" s="34" t="s">
        <v>5</v>
      </c>
      <c r="F27" s="34" t="s">
        <v>6</v>
      </c>
    </row>
    <row r="28" spans="1:8">
      <c r="A28" s="8" t="s">
        <v>78</v>
      </c>
      <c r="B28" s="9">
        <f>+B9*15*5/3</f>
        <v>15</v>
      </c>
      <c r="C28" s="9">
        <f>B28*(1+C30)</f>
        <v>15.75</v>
      </c>
      <c r="D28" s="9">
        <f t="shared" ref="D28:F28" si="1">C28*(1+D30)</f>
        <v>16.537500000000001</v>
      </c>
      <c r="E28" s="9">
        <f t="shared" si="1"/>
        <v>17.364375000000003</v>
      </c>
      <c r="F28" s="9">
        <f t="shared" si="1"/>
        <v>18.232593750000003</v>
      </c>
      <c r="H28" s="3" t="s">
        <v>152</v>
      </c>
    </row>
    <row r="29" spans="1:8">
      <c r="A29" s="8" t="s">
        <v>77</v>
      </c>
      <c r="B29" s="9">
        <f>+B28*2</f>
        <v>30</v>
      </c>
      <c r="C29" s="9">
        <f t="shared" ref="C29:F29" si="2">+C28*2</f>
        <v>31.5</v>
      </c>
      <c r="D29" s="9">
        <f t="shared" si="2"/>
        <v>33.075000000000003</v>
      </c>
      <c r="E29" s="9">
        <f t="shared" si="2"/>
        <v>34.728750000000005</v>
      </c>
      <c r="F29" s="9">
        <f t="shared" si="2"/>
        <v>36.465187500000006</v>
      </c>
      <c r="H29" s="3" t="s">
        <v>153</v>
      </c>
    </row>
    <row r="30" spans="1:8" s="8" customFormat="1">
      <c r="A30" s="10" t="s">
        <v>8</v>
      </c>
      <c r="B30" s="11">
        <v>0</v>
      </c>
      <c r="C30" s="11">
        <v>0.05</v>
      </c>
      <c r="D30" s="11">
        <v>0.05</v>
      </c>
      <c r="E30" s="11">
        <v>0.05</v>
      </c>
      <c r="F30" s="11">
        <v>0.05</v>
      </c>
    </row>
    <row r="31" spans="1:8" s="8" customFormat="1">
      <c r="B31" s="12"/>
      <c r="C31" s="12"/>
      <c r="D31" s="12"/>
      <c r="E31" s="12"/>
      <c r="F31" s="12"/>
    </row>
    <row r="32" spans="1:8" s="8" customFormat="1">
      <c r="A32" s="10" t="s">
        <v>12</v>
      </c>
      <c r="B32" s="11">
        <v>0.15</v>
      </c>
      <c r="C32" s="12"/>
      <c r="D32" s="12"/>
      <c r="E32" s="12"/>
      <c r="F32" s="12"/>
    </row>
    <row r="33" spans="1:6" s="8" customFormat="1">
      <c r="B33" s="12"/>
      <c r="C33" s="12"/>
      <c r="D33" s="12"/>
      <c r="E33" s="12"/>
      <c r="F33" s="12"/>
    </row>
    <row r="34" spans="1:6" s="8" customFormat="1">
      <c r="A34" s="5" t="s">
        <v>9</v>
      </c>
      <c r="B34" s="12"/>
      <c r="C34" s="12"/>
      <c r="D34" s="12"/>
      <c r="E34" s="12"/>
      <c r="F34" s="12"/>
    </row>
    <row r="35" spans="1:6" s="8" customFormat="1">
      <c r="B35" s="12"/>
      <c r="C35" s="12"/>
      <c r="D35" s="12"/>
      <c r="E35" s="12"/>
      <c r="F35" s="12"/>
    </row>
    <row r="36" spans="1:6" s="8" customFormat="1">
      <c r="A36" s="33"/>
      <c r="B36" s="34" t="s">
        <v>2</v>
      </c>
      <c r="C36" s="34" t="s">
        <v>3</v>
      </c>
      <c r="D36" s="34" t="s">
        <v>4</v>
      </c>
      <c r="E36" s="34" t="s">
        <v>5</v>
      </c>
      <c r="F36" s="34" t="s">
        <v>6</v>
      </c>
    </row>
    <row r="37" spans="1:6" s="8" customFormat="1">
      <c r="A37" s="7" t="s">
        <v>75</v>
      </c>
      <c r="B37" s="13">
        <v>12</v>
      </c>
      <c r="C37" s="13">
        <f>ROUND(B37*(1+C38),0)</f>
        <v>14</v>
      </c>
      <c r="D37" s="13">
        <f t="shared" ref="D37:F37" si="3">ROUND(C37*(1+D38),0)</f>
        <v>18</v>
      </c>
      <c r="E37" s="13">
        <f t="shared" si="3"/>
        <v>25</v>
      </c>
      <c r="F37" s="13">
        <f t="shared" si="3"/>
        <v>38</v>
      </c>
    </row>
    <row r="38" spans="1:6" s="8" customFormat="1">
      <c r="A38" s="10" t="s">
        <v>8</v>
      </c>
      <c r="B38" s="11">
        <v>0</v>
      </c>
      <c r="C38" s="11">
        <v>0.2</v>
      </c>
      <c r="D38" s="11">
        <v>0.3</v>
      </c>
      <c r="E38" s="11">
        <v>0.4</v>
      </c>
      <c r="F38" s="11">
        <v>0.5</v>
      </c>
    </row>
    <row r="39" spans="1:6" s="8" customFormat="1">
      <c r="A39" s="7" t="s">
        <v>76</v>
      </c>
      <c r="B39" s="13">
        <v>6</v>
      </c>
      <c r="C39" s="13">
        <f>ROUND(B39*(1+C40),0)</f>
        <v>8</v>
      </c>
      <c r="D39" s="13">
        <f t="shared" ref="D39" si="4">ROUND(C39*(1+D40),0)</f>
        <v>11</v>
      </c>
      <c r="E39" s="13">
        <f t="shared" ref="E39" si="5">ROUND(D39*(1+E40),0)</f>
        <v>17</v>
      </c>
      <c r="F39" s="13">
        <f t="shared" ref="F39" si="6">ROUND(E39*(1+F40),0)</f>
        <v>27</v>
      </c>
    </row>
    <row r="40" spans="1:6" s="8" customFormat="1">
      <c r="A40" s="10" t="s">
        <v>8</v>
      </c>
      <c r="B40" s="11">
        <v>0</v>
      </c>
      <c r="C40" s="11">
        <v>0.3</v>
      </c>
      <c r="D40" s="11">
        <v>0.4</v>
      </c>
      <c r="E40" s="11">
        <v>0.5</v>
      </c>
      <c r="F40" s="11">
        <v>0.6</v>
      </c>
    </row>
    <row r="41" spans="1:6">
      <c r="B41" s="105">
        <f>+B37</f>
        <v>12</v>
      </c>
      <c r="C41" s="105">
        <f>+C37+B41</f>
        <v>26</v>
      </c>
      <c r="D41" s="105">
        <f t="shared" ref="D41:F41" si="7">+D37+C41</f>
        <v>44</v>
      </c>
      <c r="E41" s="105">
        <f t="shared" si="7"/>
        <v>69</v>
      </c>
      <c r="F41" s="105">
        <f t="shared" si="7"/>
        <v>107</v>
      </c>
    </row>
    <row r="42" spans="1:6" s="8" customFormat="1">
      <c r="A42" s="30" t="s">
        <v>154</v>
      </c>
      <c r="B42" s="105">
        <f>+B39</f>
        <v>6</v>
      </c>
      <c r="C42" s="106">
        <f>+B42+C39</f>
        <v>14</v>
      </c>
      <c r="D42" s="106">
        <f t="shared" ref="D42:F42" si="8">+C42+D39</f>
        <v>25</v>
      </c>
      <c r="E42" s="106">
        <f t="shared" si="8"/>
        <v>42</v>
      </c>
      <c r="F42" s="106">
        <f t="shared" si="8"/>
        <v>69</v>
      </c>
    </row>
    <row r="43" spans="1:6" s="8" customFormat="1">
      <c r="A43" s="4"/>
      <c r="B43" s="3"/>
      <c r="C43" s="12"/>
      <c r="D43" s="12"/>
      <c r="E43" s="12"/>
      <c r="F43" s="12"/>
    </row>
    <row r="44" spans="1:6">
      <c r="A44" s="5" t="s">
        <v>0</v>
      </c>
      <c r="C44" s="6"/>
    </row>
    <row r="45" spans="1:6">
      <c r="A45" s="4"/>
      <c r="C45" s="6"/>
    </row>
    <row r="46" spans="1:6">
      <c r="A46" s="33" t="s">
        <v>66</v>
      </c>
      <c r="B46" s="34" t="s">
        <v>2</v>
      </c>
      <c r="C46" s="34" t="s">
        <v>3</v>
      </c>
      <c r="D46" s="34" t="s">
        <v>4</v>
      </c>
      <c r="E46" s="34" t="s">
        <v>5</v>
      </c>
      <c r="F46" s="34" t="s">
        <v>6</v>
      </c>
    </row>
    <row r="47" spans="1:6">
      <c r="A47" s="8" t="s">
        <v>13</v>
      </c>
      <c r="B47" s="9">
        <f>+B9*70*5/3</f>
        <v>70</v>
      </c>
      <c r="C47" s="9">
        <f>B47*(1+C49)</f>
        <v>73.5</v>
      </c>
      <c r="D47" s="9">
        <f>C47*(1+D49)</f>
        <v>77.174999999999997</v>
      </c>
      <c r="E47" s="9">
        <f>D47*(1+E49)</f>
        <v>81.033749999999998</v>
      </c>
      <c r="F47" s="9">
        <f>E47*(1+F49)</f>
        <v>85.085437499999998</v>
      </c>
    </row>
    <row r="48" spans="1:6">
      <c r="A48" s="8" t="s">
        <v>74</v>
      </c>
      <c r="B48" s="9">
        <f>+B47*2</f>
        <v>140</v>
      </c>
      <c r="C48" s="9">
        <f>B48*(1+C49)</f>
        <v>147</v>
      </c>
      <c r="D48" s="9">
        <f>C48*(1+D50)</f>
        <v>147</v>
      </c>
      <c r="E48" s="9">
        <f>D48*(1+E50)</f>
        <v>147</v>
      </c>
      <c r="F48" s="9">
        <f>E48*(1+F50)</f>
        <v>147</v>
      </c>
    </row>
    <row r="49" spans="1:6" s="8" customFormat="1">
      <c r="A49" s="10" t="s">
        <v>8</v>
      </c>
      <c r="B49" s="11">
        <v>0</v>
      </c>
      <c r="C49" s="11">
        <v>0.05</v>
      </c>
      <c r="D49" s="11">
        <v>0.05</v>
      </c>
      <c r="E49" s="11">
        <v>0.05</v>
      </c>
      <c r="F49" s="11">
        <v>0.05</v>
      </c>
    </row>
    <row r="50" spans="1:6" s="8" customFormat="1">
      <c r="B50" s="12"/>
      <c r="C50" s="12"/>
      <c r="D50" s="12"/>
      <c r="E50" s="12"/>
      <c r="F50" s="12"/>
    </row>
    <row r="51" spans="1:6" s="8" customFormat="1">
      <c r="A51" s="10" t="s">
        <v>12</v>
      </c>
      <c r="B51" s="11">
        <v>0.15</v>
      </c>
      <c r="C51" s="12"/>
      <c r="D51" s="12"/>
      <c r="E51" s="12"/>
      <c r="F51" s="12"/>
    </row>
    <row r="52" spans="1:6" s="8" customFormat="1">
      <c r="B52" s="12"/>
      <c r="C52" s="12"/>
      <c r="D52" s="12"/>
      <c r="E52" s="12"/>
      <c r="F52" s="12"/>
    </row>
    <row r="53" spans="1:6" s="8" customFormat="1">
      <c r="A53" s="5" t="s">
        <v>9</v>
      </c>
      <c r="B53" s="12"/>
      <c r="C53" s="12"/>
      <c r="D53" s="12"/>
      <c r="E53" s="12"/>
      <c r="F53" s="12"/>
    </row>
    <row r="54" spans="1:6" s="8" customFormat="1">
      <c r="B54" s="12"/>
      <c r="C54" s="12"/>
      <c r="D54" s="12"/>
      <c r="E54" s="12"/>
      <c r="F54" s="12"/>
    </row>
    <row r="55" spans="1:6" s="8" customFormat="1">
      <c r="A55" s="33"/>
      <c r="B55" s="34" t="s">
        <v>2</v>
      </c>
      <c r="C55" s="34" t="s">
        <v>3</v>
      </c>
      <c r="D55" s="34" t="s">
        <v>4</v>
      </c>
      <c r="E55" s="34" t="s">
        <v>5</v>
      </c>
      <c r="F55" s="34" t="s">
        <v>6</v>
      </c>
    </row>
    <row r="56" spans="1:6" s="8" customFormat="1">
      <c r="A56" s="7" t="s">
        <v>72</v>
      </c>
      <c r="B56" s="13">
        <v>6</v>
      </c>
      <c r="C56" s="13">
        <f>ROUND(B56*(1+C57),0)</f>
        <v>7</v>
      </c>
      <c r="D56" s="13">
        <f t="shared" ref="D56:F56" si="9">ROUND(C56*(1+D57),0)</f>
        <v>9</v>
      </c>
      <c r="E56" s="13">
        <f t="shared" si="9"/>
        <v>13</v>
      </c>
      <c r="F56" s="13">
        <f t="shared" si="9"/>
        <v>20</v>
      </c>
    </row>
    <row r="57" spans="1:6" s="8" customFormat="1">
      <c r="A57" s="10" t="s">
        <v>8</v>
      </c>
      <c r="B57" s="11">
        <v>0</v>
      </c>
      <c r="C57" s="11">
        <v>0.2</v>
      </c>
      <c r="D57" s="11">
        <v>0.3</v>
      </c>
      <c r="E57" s="11">
        <v>0.4</v>
      </c>
      <c r="F57" s="11">
        <v>0.5</v>
      </c>
    </row>
    <row r="58" spans="1:6" s="8" customFormat="1">
      <c r="A58" s="7" t="s">
        <v>73</v>
      </c>
      <c r="B58" s="13">
        <v>3</v>
      </c>
      <c r="C58" s="13">
        <f>ROUND(B58*(1+C59),0)</f>
        <v>4</v>
      </c>
      <c r="D58" s="13">
        <f t="shared" ref="D58" si="10">ROUND(C58*(1+D59),0)</f>
        <v>6</v>
      </c>
      <c r="E58" s="13">
        <f t="shared" ref="E58" si="11">ROUND(D58*(1+E59),0)</f>
        <v>9</v>
      </c>
      <c r="F58" s="13">
        <f>ROUND(E58*(1+F59),0)</f>
        <v>14</v>
      </c>
    </row>
    <row r="59" spans="1:6" s="8" customFormat="1">
      <c r="A59" s="10" t="s">
        <v>8</v>
      </c>
      <c r="B59" s="11">
        <v>0</v>
      </c>
      <c r="C59" s="11">
        <v>0.3</v>
      </c>
      <c r="D59" s="11">
        <v>0.4</v>
      </c>
      <c r="E59" s="11">
        <v>0.5</v>
      </c>
      <c r="F59" s="11">
        <v>0.6</v>
      </c>
    </row>
    <row r="60" spans="1:6">
      <c r="A60" s="101"/>
      <c r="B60" s="102"/>
      <c r="C60" s="102"/>
      <c r="D60" s="102"/>
      <c r="E60" s="102"/>
      <c r="F60" s="102"/>
    </row>
    <row r="61" spans="1:6">
      <c r="A61" s="30" t="s">
        <v>14</v>
      </c>
    </row>
    <row r="62" spans="1:6">
      <c r="A62" s="4"/>
    </row>
    <row r="63" spans="1:6">
      <c r="A63" s="5" t="s">
        <v>0</v>
      </c>
      <c r="C63" s="6"/>
    </row>
    <row r="64" spans="1:6">
      <c r="A64" s="4"/>
      <c r="C64" s="6"/>
    </row>
    <row r="65" spans="1:8">
      <c r="A65" s="33" t="s">
        <v>66</v>
      </c>
      <c r="B65" s="34" t="s">
        <v>2</v>
      </c>
      <c r="C65" s="34" t="s">
        <v>3</v>
      </c>
      <c r="D65" s="34" t="s">
        <v>4</v>
      </c>
      <c r="E65" s="34" t="s">
        <v>5</v>
      </c>
      <c r="F65" s="34" t="s">
        <v>6</v>
      </c>
    </row>
    <row r="66" spans="1:8">
      <c r="A66" s="7" t="s">
        <v>157</v>
      </c>
      <c r="B66" s="16">
        <f>0.1*15</f>
        <v>1.5</v>
      </c>
      <c r="C66" s="16">
        <f>B66*(1+C68)</f>
        <v>1.5750000000000002</v>
      </c>
      <c r="D66" s="16">
        <f>C66*(1+D68)</f>
        <v>1.6537500000000003</v>
      </c>
      <c r="E66" s="16">
        <f>D66*(1+E68)</f>
        <v>1.7364375000000003</v>
      </c>
      <c r="F66" s="16">
        <f>E66*(1+F68)</f>
        <v>1.8232593750000003</v>
      </c>
      <c r="H66" s="3" t="s">
        <v>155</v>
      </c>
    </row>
    <row r="67" spans="1:8">
      <c r="A67" s="7" t="s">
        <v>156</v>
      </c>
      <c r="B67" s="16">
        <f>+B66*2</f>
        <v>3</v>
      </c>
      <c r="C67" s="16">
        <f t="shared" ref="C67:F67" si="12">+C66*2</f>
        <v>3.1500000000000004</v>
      </c>
      <c r="D67" s="16">
        <f t="shared" si="12"/>
        <v>3.3075000000000006</v>
      </c>
      <c r="E67" s="16">
        <f t="shared" si="12"/>
        <v>3.4728750000000006</v>
      </c>
      <c r="F67" s="16">
        <f t="shared" si="12"/>
        <v>3.6465187500000007</v>
      </c>
    </row>
    <row r="68" spans="1:8" s="8" customFormat="1">
      <c r="A68" s="10" t="s">
        <v>8</v>
      </c>
      <c r="B68" s="11">
        <v>0</v>
      </c>
      <c r="C68" s="11">
        <v>0.05</v>
      </c>
      <c r="D68" s="11">
        <v>0.05</v>
      </c>
      <c r="E68" s="11">
        <v>0.05</v>
      </c>
      <c r="F68" s="11">
        <v>0.05</v>
      </c>
    </row>
    <row r="69" spans="1:8" s="8" customFormat="1">
      <c r="B69" s="12"/>
      <c r="C69" s="12"/>
      <c r="D69" s="12"/>
      <c r="E69" s="12"/>
      <c r="F69" s="12"/>
    </row>
    <row r="70" spans="1:8" s="8" customFormat="1">
      <c r="A70" s="5" t="s">
        <v>9</v>
      </c>
      <c r="B70" s="12"/>
      <c r="C70" s="12"/>
      <c r="D70" s="12"/>
      <c r="E70" s="12"/>
      <c r="F70" s="12"/>
    </row>
    <row r="71" spans="1:8" s="8" customFormat="1">
      <c r="B71" s="12">
        <v>0.5</v>
      </c>
      <c r="C71" s="12">
        <v>0.5</v>
      </c>
      <c r="D71" s="12">
        <v>0.6</v>
      </c>
      <c r="E71" s="12">
        <v>0.6</v>
      </c>
      <c r="F71" s="12">
        <v>0.7</v>
      </c>
      <c r="H71" s="8" t="s">
        <v>160</v>
      </c>
    </row>
    <row r="72" spans="1:8" s="8" customFormat="1">
      <c r="A72" s="33"/>
      <c r="B72" s="34" t="s">
        <v>2</v>
      </c>
      <c r="C72" s="34" t="s">
        <v>3</v>
      </c>
      <c r="D72" s="34" t="s">
        <v>4</v>
      </c>
      <c r="E72" s="34" t="s">
        <v>5</v>
      </c>
      <c r="F72" s="34" t="s">
        <v>6</v>
      </c>
    </row>
    <row r="73" spans="1:8" s="8" customFormat="1">
      <c r="A73" s="7" t="s">
        <v>159</v>
      </c>
      <c r="B73" s="13">
        <f>+ROUND(B56*B71,0)</f>
        <v>3</v>
      </c>
      <c r="C73" s="13">
        <f t="shared" ref="C73:F73" si="13">+ROUND(C56*C71,0)</f>
        <v>4</v>
      </c>
      <c r="D73" s="13">
        <f t="shared" si="13"/>
        <v>5</v>
      </c>
      <c r="E73" s="13">
        <f t="shared" si="13"/>
        <v>8</v>
      </c>
      <c r="F73" s="13">
        <f t="shared" si="13"/>
        <v>14</v>
      </c>
    </row>
    <row r="74" spans="1:8" s="8" customFormat="1">
      <c r="A74" s="7" t="s">
        <v>158</v>
      </c>
      <c r="B74" s="13">
        <f>+ROUND(B58*B71,0)</f>
        <v>2</v>
      </c>
      <c r="C74" s="13">
        <f t="shared" ref="C74:F74" si="14">+ROUND(C58*C71,0)</f>
        <v>2</v>
      </c>
      <c r="D74" s="13">
        <f t="shared" si="14"/>
        <v>4</v>
      </c>
      <c r="E74" s="13">
        <f t="shared" si="14"/>
        <v>5</v>
      </c>
      <c r="F74" s="13">
        <f t="shared" si="14"/>
        <v>10</v>
      </c>
      <c r="H74" s="8" t="s">
        <v>161</v>
      </c>
    </row>
    <row r="75" spans="1:8" s="8" customFormat="1">
      <c r="A75" s="10" t="s">
        <v>8</v>
      </c>
      <c r="B75" s="100">
        <v>0</v>
      </c>
      <c r="C75" s="100">
        <v>0.5</v>
      </c>
      <c r="D75" s="100">
        <v>0.6</v>
      </c>
      <c r="E75" s="100">
        <v>0.7</v>
      </c>
      <c r="F75" s="100">
        <v>0.6</v>
      </c>
    </row>
    <row r="76" spans="1:8">
      <c r="B76" s="14"/>
      <c r="C76" s="14"/>
      <c r="D76" s="14"/>
      <c r="E76" s="14"/>
      <c r="F76" s="14"/>
    </row>
    <row r="77" spans="1:8" s="8" customFormat="1">
      <c r="A77" s="5" t="s">
        <v>10</v>
      </c>
      <c r="B77" s="3"/>
      <c r="C77" s="6"/>
      <c r="D77" s="3"/>
      <c r="E77" s="3"/>
      <c r="F77" s="3"/>
    </row>
    <row r="78" spans="1:8" s="8" customFormat="1">
      <c r="A78" s="4"/>
      <c r="B78" s="3"/>
      <c r="C78" s="6"/>
      <c r="D78" s="3"/>
      <c r="E78" s="3"/>
      <c r="F78" s="3"/>
    </row>
    <row r="79" spans="1:8" s="8" customFormat="1">
      <c r="A79" s="33"/>
      <c r="B79" s="34" t="s">
        <v>2</v>
      </c>
      <c r="C79" s="34" t="s">
        <v>3</v>
      </c>
      <c r="D79" s="34" t="s">
        <v>4</v>
      </c>
      <c r="E79" s="34" t="s">
        <v>5</v>
      </c>
      <c r="F79" s="34" t="s">
        <v>6</v>
      </c>
    </row>
    <row r="80" spans="1:8" s="8" customFormat="1">
      <c r="A80" s="10" t="s">
        <v>10</v>
      </c>
      <c r="B80" s="11">
        <v>0.03</v>
      </c>
      <c r="C80" s="11">
        <v>0.03</v>
      </c>
      <c r="D80" s="11">
        <v>0.03</v>
      </c>
      <c r="E80" s="11">
        <v>0.03</v>
      </c>
      <c r="F80" s="11">
        <v>0.03</v>
      </c>
    </row>
    <row r="81" spans="1:6">
      <c r="B81" s="14"/>
      <c r="C81" s="14"/>
      <c r="D81" s="14"/>
      <c r="E81" s="14"/>
      <c r="F81" s="14"/>
    </row>
    <row r="82" spans="1:6" s="8" customFormat="1">
      <c r="A82" s="30" t="s">
        <v>15</v>
      </c>
      <c r="B82" s="3"/>
      <c r="C82" s="12"/>
      <c r="D82" s="12"/>
      <c r="E82" s="12"/>
      <c r="F82" s="12"/>
    </row>
    <row r="83" spans="1:6" s="8" customFormat="1">
      <c r="A83" s="4"/>
      <c r="B83" s="3"/>
      <c r="C83" s="12"/>
      <c r="D83" s="12"/>
      <c r="E83" s="12"/>
      <c r="F83" s="12"/>
    </row>
    <row r="84" spans="1:6" s="8" customFormat="1">
      <c r="A84" s="5" t="s">
        <v>0</v>
      </c>
      <c r="B84" s="3"/>
      <c r="C84" s="6"/>
      <c r="D84" s="3"/>
      <c r="E84" s="3"/>
      <c r="F84" s="3"/>
    </row>
    <row r="85" spans="1:6" s="8" customFormat="1">
      <c r="A85" s="4"/>
      <c r="B85" s="3"/>
      <c r="C85" s="6"/>
      <c r="D85" s="3"/>
      <c r="E85" s="3"/>
      <c r="F85" s="3"/>
    </row>
    <row r="86" spans="1:6" s="8" customFormat="1">
      <c r="A86" s="33" t="s">
        <v>66</v>
      </c>
      <c r="B86" s="34" t="s">
        <v>2</v>
      </c>
      <c r="C86" s="34" t="s">
        <v>3</v>
      </c>
      <c r="D86" s="34" t="s">
        <v>4</v>
      </c>
      <c r="E86" s="34" t="s">
        <v>5</v>
      </c>
      <c r="F86" s="34" t="s">
        <v>6</v>
      </c>
    </row>
    <row r="87" spans="1:6" s="8" customFormat="1">
      <c r="A87" s="7" t="s">
        <v>168</v>
      </c>
      <c r="B87" s="13">
        <v>15</v>
      </c>
      <c r="C87" s="13">
        <f>B87*(1+C89)</f>
        <v>15.75</v>
      </c>
      <c r="D87" s="13">
        <f>C87*(1+D89)</f>
        <v>16.537500000000001</v>
      </c>
      <c r="E87" s="13">
        <f>D87*(1+E89)</f>
        <v>17.364375000000003</v>
      </c>
      <c r="F87" s="13">
        <f>E87*(1+F89)</f>
        <v>18.232593750000003</v>
      </c>
    </row>
    <row r="88" spans="1:6" s="8" customFormat="1">
      <c r="A88" s="7" t="s">
        <v>169</v>
      </c>
      <c r="B88" s="13">
        <f>+B87*2</f>
        <v>30</v>
      </c>
      <c r="C88" s="13">
        <f t="shared" ref="C88:F88" si="15">+C87*2</f>
        <v>31.5</v>
      </c>
      <c r="D88" s="13">
        <f t="shared" si="15"/>
        <v>33.075000000000003</v>
      </c>
      <c r="E88" s="13">
        <f t="shared" si="15"/>
        <v>34.728750000000005</v>
      </c>
      <c r="F88" s="13">
        <f t="shared" si="15"/>
        <v>36.465187500000006</v>
      </c>
    </row>
    <row r="89" spans="1:6" s="8" customFormat="1">
      <c r="A89" s="10" t="s">
        <v>8</v>
      </c>
      <c r="B89" s="11">
        <v>0</v>
      </c>
      <c r="C89" s="11">
        <v>0.05</v>
      </c>
      <c r="D89" s="11">
        <v>0.05</v>
      </c>
      <c r="E89" s="11">
        <v>0.05</v>
      </c>
      <c r="F89" s="11">
        <v>0.05</v>
      </c>
    </row>
    <row r="90" spans="1:6">
      <c r="B90" s="14"/>
      <c r="C90" s="14"/>
      <c r="D90" s="14"/>
      <c r="E90" s="14"/>
      <c r="F90" s="14"/>
    </row>
    <row r="91" spans="1:6" s="8" customFormat="1">
      <c r="A91" s="5" t="s">
        <v>16</v>
      </c>
      <c r="B91" s="12"/>
      <c r="C91" s="12"/>
      <c r="D91" s="12"/>
      <c r="E91" s="12"/>
      <c r="F91" s="12"/>
    </row>
    <row r="92" spans="1:6" s="8" customFormat="1">
      <c r="B92" s="12"/>
      <c r="C92" s="12"/>
      <c r="D92" s="12"/>
      <c r="E92" s="12"/>
      <c r="F92" s="12"/>
    </row>
    <row r="93" spans="1:6" s="8" customFormat="1">
      <c r="A93" s="7" t="s">
        <v>69</v>
      </c>
      <c r="B93" s="15">
        <v>1</v>
      </c>
      <c r="C93" s="12"/>
      <c r="D93" s="12"/>
      <c r="E93" s="12"/>
      <c r="F93" s="12"/>
    </row>
    <row r="94" spans="1:6" s="8" customFormat="1">
      <c r="B94" s="12"/>
      <c r="C94" s="12"/>
      <c r="D94" s="12"/>
      <c r="E94" s="12"/>
      <c r="F94" s="12"/>
    </row>
    <row r="95" spans="1:6" s="8" customFormat="1">
      <c r="A95" s="33"/>
      <c r="B95" s="34" t="s">
        <v>2</v>
      </c>
      <c r="C95" s="34" t="s">
        <v>3</v>
      </c>
      <c r="D95" s="34" t="s">
        <v>4</v>
      </c>
      <c r="E95" s="34" t="s">
        <v>5</v>
      </c>
      <c r="F95" s="34" t="s">
        <v>6</v>
      </c>
    </row>
    <row r="96" spans="1:6" s="8" customFormat="1">
      <c r="A96" s="7" t="s">
        <v>164</v>
      </c>
      <c r="B96" s="13">
        <f>$B$93*B73</f>
        <v>3</v>
      </c>
      <c r="C96" s="13">
        <f>$B$93*C73</f>
        <v>4</v>
      </c>
      <c r="D96" s="13">
        <f>$B$93*D73</f>
        <v>5</v>
      </c>
      <c r="E96" s="13">
        <f>$B$93*E73</f>
        <v>8</v>
      </c>
      <c r="F96" s="13">
        <f>$B$93*F73</f>
        <v>14</v>
      </c>
    </row>
    <row r="97" spans="1:6">
      <c r="A97" s="7" t="s">
        <v>165</v>
      </c>
      <c r="B97" s="13">
        <f>$B$93*B74</f>
        <v>2</v>
      </c>
      <c r="C97" s="13">
        <f>$B$93*C74</f>
        <v>2</v>
      </c>
      <c r="D97" s="13">
        <f>$B$93*D74</f>
        <v>4</v>
      </c>
      <c r="E97" s="13">
        <f>$B$93*E74</f>
        <v>5</v>
      </c>
      <c r="F97" s="13">
        <f>$B$93*F74</f>
        <v>10</v>
      </c>
    </row>
    <row r="98" spans="1:6">
      <c r="B98" s="17"/>
      <c r="C98" s="17"/>
      <c r="D98" s="17"/>
      <c r="E98" s="17"/>
      <c r="F98" s="17"/>
    </row>
    <row r="99" spans="1:6">
      <c r="A99" s="31" t="s">
        <v>17</v>
      </c>
      <c r="B99" s="17"/>
      <c r="C99" s="17"/>
      <c r="D99" s="17"/>
      <c r="E99" s="17"/>
      <c r="F99" s="17"/>
    </row>
    <row r="100" spans="1:6">
      <c r="B100" s="17"/>
      <c r="C100" s="17"/>
      <c r="D100" s="17"/>
      <c r="E100" s="17"/>
      <c r="F100" s="17"/>
    </row>
    <row r="101" spans="1:6">
      <c r="A101" s="33" t="s">
        <v>66</v>
      </c>
      <c r="B101" s="34" t="str">
        <f>B8</f>
        <v>Y1</v>
      </c>
      <c r="C101" s="34" t="str">
        <f>C8</f>
        <v>Y2</v>
      </c>
      <c r="D101" s="34" t="str">
        <f>D8</f>
        <v>Y3</v>
      </c>
      <c r="E101" s="34" t="str">
        <f>E8</f>
        <v>Y4</v>
      </c>
      <c r="F101" s="34" t="str">
        <f>F8</f>
        <v>Y5</v>
      </c>
    </row>
    <row r="102" spans="1:6">
      <c r="A102" s="7" t="s">
        <v>18</v>
      </c>
      <c r="B102" s="18">
        <v>0</v>
      </c>
      <c r="C102" s="18">
        <f>B105</f>
        <v>72</v>
      </c>
      <c r="D102" s="18">
        <f t="shared" ref="D102:F102" si="16">C105</f>
        <v>171</v>
      </c>
      <c r="E102" s="18">
        <f t="shared" si="16"/>
        <v>318</v>
      </c>
      <c r="F102" s="18">
        <f t="shared" si="16"/>
        <v>551</v>
      </c>
    </row>
    <row r="103" spans="1:6" s="8" customFormat="1">
      <c r="A103" s="8" t="s">
        <v>19</v>
      </c>
      <c r="B103" s="19">
        <f>B15</f>
        <v>72</v>
      </c>
      <c r="C103" s="19">
        <f>C15</f>
        <v>101</v>
      </c>
      <c r="D103" s="19">
        <f>D15</f>
        <v>152</v>
      </c>
      <c r="E103" s="19">
        <f>E15</f>
        <v>243</v>
      </c>
      <c r="F103" s="19">
        <f>F15</f>
        <v>413</v>
      </c>
    </row>
    <row r="104" spans="1:6">
      <c r="A104" s="7" t="s">
        <v>20</v>
      </c>
      <c r="B104" s="18">
        <f>ROUND(B102*B21,0)</f>
        <v>0</v>
      </c>
      <c r="C104" s="18">
        <f>ROUND(C102*C21,0)</f>
        <v>2</v>
      </c>
      <c r="D104" s="18">
        <f>ROUND(D102*D21,0)</f>
        <v>5</v>
      </c>
      <c r="E104" s="18">
        <f>ROUND(E102*E21,0)</f>
        <v>10</v>
      </c>
      <c r="F104" s="18">
        <f>ROUND(F102*F21,0)</f>
        <v>17</v>
      </c>
    </row>
    <row r="105" spans="1:6">
      <c r="A105" s="8" t="s">
        <v>21</v>
      </c>
      <c r="B105" s="19">
        <f>B102+B103-B104</f>
        <v>72</v>
      </c>
      <c r="C105" s="19">
        <f>C102+C103-C104</f>
        <v>171</v>
      </c>
      <c r="D105" s="19">
        <f t="shared" ref="D105:F105" si="17">D102+D103-D104</f>
        <v>318</v>
      </c>
      <c r="E105" s="19">
        <f t="shared" si="17"/>
        <v>551</v>
      </c>
      <c r="F105" s="19">
        <f t="shared" si="17"/>
        <v>947</v>
      </c>
    </row>
    <row r="106" spans="1:6">
      <c r="A106" s="20" t="s">
        <v>22</v>
      </c>
      <c r="B106" s="21">
        <f>B105*B9</f>
        <v>43.199999999999996</v>
      </c>
      <c r="C106" s="21">
        <f>C105*C9</f>
        <v>107.73</v>
      </c>
      <c r="D106" s="21">
        <f>D105*D9</f>
        <v>210.35700000000003</v>
      </c>
      <c r="E106" s="21">
        <f>E105*E9</f>
        <v>382.71082500000011</v>
      </c>
      <c r="F106" s="21">
        <f>F105*F9</f>
        <v>690.65065125000024</v>
      </c>
    </row>
    <row r="107" spans="1:6">
      <c r="A107" s="7" t="str">
        <f>A37</f>
        <v>New medium clients acquisition (Tunisia)</v>
      </c>
      <c r="B107" s="18">
        <f>B37</f>
        <v>12</v>
      </c>
      <c r="C107" s="18">
        <f>C37</f>
        <v>14</v>
      </c>
      <c r="D107" s="18">
        <f>D37</f>
        <v>18</v>
      </c>
      <c r="E107" s="18">
        <f>E37</f>
        <v>25</v>
      </c>
      <c r="F107" s="18">
        <f>F37</f>
        <v>38</v>
      </c>
    </row>
    <row r="108" spans="1:6">
      <c r="A108" s="7" t="str">
        <f>A39</f>
        <v>New medium clients acquisition (Africa)</v>
      </c>
      <c r="B108" s="18">
        <f>B39</f>
        <v>6</v>
      </c>
      <c r="C108" s="18">
        <f>C39</f>
        <v>8</v>
      </c>
      <c r="D108" s="18">
        <f>D39</f>
        <v>11</v>
      </c>
      <c r="E108" s="18">
        <f>E39</f>
        <v>17</v>
      </c>
      <c r="F108" s="18">
        <f>F39</f>
        <v>27</v>
      </c>
    </row>
    <row r="109" spans="1:6">
      <c r="A109" s="20" t="s">
        <v>23</v>
      </c>
      <c r="B109" s="21">
        <f>B107*B28+B108*B29</f>
        <v>360</v>
      </c>
      <c r="C109" s="21">
        <f>C107*C28+C108*C29</f>
        <v>472.5</v>
      </c>
      <c r="D109" s="21">
        <f>D107*D28+D108*D29</f>
        <v>661.5</v>
      </c>
      <c r="E109" s="21">
        <f>E107*E28+E108*E29</f>
        <v>1024.4981250000001</v>
      </c>
      <c r="F109" s="21">
        <f>F107*F28+F108*F29</f>
        <v>1677.3986250000003</v>
      </c>
    </row>
    <row r="110" spans="1:6">
      <c r="A110" s="20" t="s">
        <v>24</v>
      </c>
      <c r="B110" s="21">
        <f>B109*$B$32</f>
        <v>54</v>
      </c>
      <c r="C110" s="21">
        <f t="shared" ref="C110:F110" si="18">C109*$B$32</f>
        <v>70.875</v>
      </c>
      <c r="D110" s="21">
        <f t="shared" si="18"/>
        <v>99.224999999999994</v>
      </c>
      <c r="E110" s="21">
        <f t="shared" si="18"/>
        <v>153.67471875000001</v>
      </c>
      <c r="F110" s="21">
        <f t="shared" si="18"/>
        <v>251.60979375000002</v>
      </c>
    </row>
    <row r="111" spans="1:6">
      <c r="A111" s="7" t="str">
        <f>A56</f>
        <v>New big clients acquisition (Tunisia)</v>
      </c>
      <c r="B111" s="18">
        <f>B56</f>
        <v>6</v>
      </c>
      <c r="C111" s="18">
        <f>C56</f>
        <v>7</v>
      </c>
      <c r="D111" s="18">
        <f>D56</f>
        <v>9</v>
      </c>
      <c r="E111" s="18">
        <f>E56</f>
        <v>13</v>
      </c>
      <c r="F111" s="18">
        <f>F56</f>
        <v>20</v>
      </c>
    </row>
    <row r="112" spans="1:6">
      <c r="A112" s="7" t="str">
        <f>A58</f>
        <v>New big clients acquisition (Africa)</v>
      </c>
      <c r="B112" s="18">
        <f>B58</f>
        <v>3</v>
      </c>
      <c r="C112" s="18">
        <f>C58</f>
        <v>4</v>
      </c>
      <c r="D112" s="18">
        <f>D58</f>
        <v>6</v>
      </c>
      <c r="E112" s="18">
        <f>E58</f>
        <v>9</v>
      </c>
      <c r="F112" s="18">
        <f>F58</f>
        <v>14</v>
      </c>
    </row>
    <row r="113" spans="1:6">
      <c r="A113" s="20" t="s">
        <v>25</v>
      </c>
      <c r="B113" s="21">
        <f>B111*B47+B112*B48</f>
        <v>840</v>
      </c>
      <c r="C113" s="21">
        <f>C111*C47+C112*C48</f>
        <v>1102.5</v>
      </c>
      <c r="D113" s="21">
        <f>D111*D47+D112*D48</f>
        <v>1576.5749999999998</v>
      </c>
      <c r="E113" s="21">
        <f>E111*E47+E112*E48</f>
        <v>2376.4387500000003</v>
      </c>
      <c r="F113" s="21">
        <f>F111*F47+F112*F48</f>
        <v>3759.7087499999998</v>
      </c>
    </row>
    <row r="114" spans="1:6">
      <c r="A114" s="20" t="s">
        <v>26</v>
      </c>
      <c r="B114" s="21">
        <f>B113*$B$51</f>
        <v>126</v>
      </c>
      <c r="C114" s="21">
        <f t="shared" ref="C114:F114" si="19">C113*$B$51</f>
        <v>165.375</v>
      </c>
      <c r="D114" s="21">
        <f t="shared" si="19"/>
        <v>236.48624999999996</v>
      </c>
      <c r="E114" s="21">
        <f t="shared" si="19"/>
        <v>356.46581250000003</v>
      </c>
      <c r="F114" s="21">
        <f t="shared" si="19"/>
        <v>563.95631249999997</v>
      </c>
    </row>
    <row r="115" spans="1:6">
      <c r="A115" s="30" t="s">
        <v>70</v>
      </c>
      <c r="B115" s="32">
        <f>B114+B113+B110+B109+B106</f>
        <v>1423.2</v>
      </c>
      <c r="C115" s="32">
        <f t="shared" ref="C115:F115" si="20">C114+C113+C110+C109+C106</f>
        <v>1918.98</v>
      </c>
      <c r="D115" s="32">
        <f t="shared" si="20"/>
        <v>2784.1432499999996</v>
      </c>
      <c r="E115" s="32">
        <f t="shared" si="20"/>
        <v>4293.7882312500005</v>
      </c>
      <c r="F115" s="32">
        <f t="shared" si="20"/>
        <v>6943.3241324999999</v>
      </c>
    </row>
    <row r="116" spans="1:6">
      <c r="A116" s="7" t="s">
        <v>27</v>
      </c>
      <c r="B116" s="18">
        <v>0</v>
      </c>
      <c r="C116" s="18">
        <f>B119</f>
        <v>3</v>
      </c>
      <c r="D116" s="18">
        <f t="shared" ref="D116:F116" si="21">C119</f>
        <v>7</v>
      </c>
      <c r="E116" s="18">
        <f t="shared" si="21"/>
        <v>12</v>
      </c>
      <c r="F116" s="18">
        <f t="shared" si="21"/>
        <v>20</v>
      </c>
    </row>
    <row r="117" spans="1:6">
      <c r="A117" s="8" t="s">
        <v>28</v>
      </c>
      <c r="B117" s="19">
        <f>B73</f>
        <v>3</v>
      </c>
      <c r="C117" s="19">
        <f>C73</f>
        <v>4</v>
      </c>
      <c r="D117" s="19">
        <f>D73</f>
        <v>5</v>
      </c>
      <c r="E117" s="19">
        <f>E73</f>
        <v>8</v>
      </c>
      <c r="F117" s="19">
        <f>F73</f>
        <v>14</v>
      </c>
    </row>
    <row r="118" spans="1:6">
      <c r="A118" s="7" t="s">
        <v>29</v>
      </c>
      <c r="B118" s="18">
        <f>ROUND(B116*B80,0)</f>
        <v>0</v>
      </c>
      <c r="C118" s="18">
        <f>ROUND(C116*C80,0)</f>
        <v>0</v>
      </c>
      <c r="D118" s="18">
        <f>ROUND(D116*D80,0)</f>
        <v>0</v>
      </c>
      <c r="E118" s="18">
        <f>ROUND(E116*E80,0)</f>
        <v>0</v>
      </c>
      <c r="F118" s="18">
        <f>ROUND(F116*F80,0)</f>
        <v>1</v>
      </c>
    </row>
    <row r="119" spans="1:6">
      <c r="A119" s="8" t="s">
        <v>30</v>
      </c>
      <c r="B119" s="19">
        <f>B116+B117-B118</f>
        <v>3</v>
      </c>
      <c r="C119" s="19">
        <f>C116+C117-C118</f>
        <v>7</v>
      </c>
      <c r="D119" s="19">
        <f t="shared" ref="D119:F119" si="22">D116+D117-D118</f>
        <v>12</v>
      </c>
      <c r="E119" s="19">
        <f t="shared" si="22"/>
        <v>20</v>
      </c>
      <c r="F119" s="19">
        <f t="shared" si="22"/>
        <v>33</v>
      </c>
    </row>
    <row r="120" spans="1:6">
      <c r="A120" s="20" t="s">
        <v>162</v>
      </c>
      <c r="B120" s="21">
        <f>B119*B66</f>
        <v>4.5</v>
      </c>
      <c r="C120" s="21">
        <f>C119*C66</f>
        <v>11.025000000000002</v>
      </c>
      <c r="D120" s="21">
        <f>D119*D66</f>
        <v>19.845000000000002</v>
      </c>
      <c r="E120" s="21">
        <f>E119*E66</f>
        <v>34.728750000000005</v>
      </c>
      <c r="F120" s="21">
        <f>F119*F66</f>
        <v>60.16755937500001</v>
      </c>
    </row>
    <row r="121" spans="1:6">
      <c r="A121" s="7" t="s">
        <v>27</v>
      </c>
      <c r="B121" s="18">
        <v>0</v>
      </c>
      <c r="C121" s="18">
        <f>B124</f>
        <v>2</v>
      </c>
      <c r="D121" s="18">
        <f t="shared" ref="D121" si="23">C124</f>
        <v>4</v>
      </c>
      <c r="E121" s="18">
        <f t="shared" ref="E121" si="24">D124</f>
        <v>8</v>
      </c>
      <c r="F121" s="18">
        <f t="shared" ref="F121" si="25">E124</f>
        <v>13</v>
      </c>
    </row>
    <row r="122" spans="1:6">
      <c r="A122" s="8" t="s">
        <v>28</v>
      </c>
      <c r="B122" s="19">
        <f>B74</f>
        <v>2</v>
      </c>
      <c r="C122" s="19">
        <f t="shared" ref="C122:F122" si="26">C74</f>
        <v>2</v>
      </c>
      <c r="D122" s="19">
        <f t="shared" si="26"/>
        <v>4</v>
      </c>
      <c r="E122" s="19">
        <f t="shared" si="26"/>
        <v>5</v>
      </c>
      <c r="F122" s="19">
        <f t="shared" si="26"/>
        <v>10</v>
      </c>
    </row>
    <row r="123" spans="1:6">
      <c r="A123" s="7" t="s">
        <v>29</v>
      </c>
      <c r="B123" s="18">
        <f>ROUND((B121+B122)*B85,0)</f>
        <v>0</v>
      </c>
      <c r="C123" s="18">
        <f>ROUND((C121+C122)*C85,0)</f>
        <v>0</v>
      </c>
      <c r="D123" s="18">
        <f>ROUND((D121+D122)*D85,0)</f>
        <v>0</v>
      </c>
      <c r="E123" s="18">
        <f>ROUND((E121+E122)*E85,0)</f>
        <v>0</v>
      </c>
      <c r="F123" s="18">
        <f>ROUND((F121+F122)*F85,0)</f>
        <v>0</v>
      </c>
    </row>
    <row r="124" spans="1:6">
      <c r="A124" s="8" t="s">
        <v>30</v>
      </c>
      <c r="B124" s="19">
        <f>B121+B122-B123</f>
        <v>2</v>
      </c>
      <c r="C124" s="19">
        <f>C121+C122-C123</f>
        <v>4</v>
      </c>
      <c r="D124" s="19">
        <f t="shared" ref="D124:F124" si="27">D121+D122-D123</f>
        <v>8</v>
      </c>
      <c r="E124" s="19">
        <f t="shared" si="27"/>
        <v>13</v>
      </c>
      <c r="F124" s="19">
        <f t="shared" si="27"/>
        <v>23</v>
      </c>
    </row>
    <row r="125" spans="1:6">
      <c r="A125" s="20" t="s">
        <v>163</v>
      </c>
      <c r="B125" s="21">
        <f>B124*B67</f>
        <v>6</v>
      </c>
      <c r="C125" s="21">
        <f t="shared" ref="C125:F125" si="28">C124*C67</f>
        <v>12.600000000000001</v>
      </c>
      <c r="D125" s="21">
        <f t="shared" si="28"/>
        <v>26.460000000000004</v>
      </c>
      <c r="E125" s="21">
        <f t="shared" si="28"/>
        <v>45.147375000000011</v>
      </c>
      <c r="F125" s="21">
        <f t="shared" si="28"/>
        <v>83.869931250000022</v>
      </c>
    </row>
    <row r="126" spans="1:6">
      <c r="A126" s="22" t="str">
        <f>A96</f>
        <v>Number of setups Tunisia</v>
      </c>
      <c r="B126" s="23">
        <f>B96</f>
        <v>3</v>
      </c>
      <c r="C126" s="23">
        <f>C96</f>
        <v>4</v>
      </c>
      <c r="D126" s="23">
        <f>D96</f>
        <v>5</v>
      </c>
      <c r="E126" s="23">
        <f>E96</f>
        <v>8</v>
      </c>
      <c r="F126" s="23">
        <f>F96</f>
        <v>14</v>
      </c>
    </row>
    <row r="127" spans="1:6">
      <c r="A127" s="22" t="str">
        <f>A97</f>
        <v>Number of setups Africa</v>
      </c>
      <c r="B127" s="23">
        <f>B97</f>
        <v>2</v>
      </c>
      <c r="C127" s="23">
        <f>C97</f>
        <v>2</v>
      </c>
      <c r="D127" s="23">
        <f>D97</f>
        <v>4</v>
      </c>
      <c r="E127" s="23">
        <f>E97</f>
        <v>5</v>
      </c>
      <c r="F127" s="23">
        <f>F97</f>
        <v>10</v>
      </c>
    </row>
    <row r="128" spans="1:6">
      <c r="A128" s="20" t="s">
        <v>166</v>
      </c>
      <c r="B128" s="21">
        <f>B126*B87</f>
        <v>45</v>
      </c>
      <c r="C128" s="21">
        <f>C126*C87</f>
        <v>63</v>
      </c>
      <c r="D128" s="21">
        <f>D126*D87</f>
        <v>82.6875</v>
      </c>
      <c r="E128" s="21">
        <f>E126*E87</f>
        <v>138.91500000000002</v>
      </c>
      <c r="F128" s="21">
        <f>F126*F87</f>
        <v>255.25631250000004</v>
      </c>
    </row>
    <row r="129" spans="1:6">
      <c r="A129" s="20" t="s">
        <v>167</v>
      </c>
      <c r="B129" s="21">
        <f>B127*B88</f>
        <v>60</v>
      </c>
      <c r="C129" s="21">
        <f t="shared" ref="C129:F129" si="29">C127*C88</f>
        <v>63</v>
      </c>
      <c r="D129" s="21">
        <f t="shared" si="29"/>
        <v>132.30000000000001</v>
      </c>
      <c r="E129" s="21">
        <f t="shared" si="29"/>
        <v>173.64375000000001</v>
      </c>
      <c r="F129" s="21">
        <f t="shared" si="29"/>
        <v>364.65187500000008</v>
      </c>
    </row>
    <row r="130" spans="1:6">
      <c r="A130" s="30" t="s">
        <v>71</v>
      </c>
      <c r="B130" s="32">
        <f>B128+B129+B120+B125</f>
        <v>115.5</v>
      </c>
      <c r="C130" s="32">
        <f t="shared" ref="C130:F130" si="30">C128+C129+C120+C125</f>
        <v>149.625</v>
      </c>
      <c r="D130" s="32">
        <f t="shared" si="30"/>
        <v>261.29250000000002</v>
      </c>
      <c r="E130" s="32">
        <f t="shared" si="30"/>
        <v>392.43487500000003</v>
      </c>
      <c r="F130" s="32">
        <f t="shared" si="30"/>
        <v>763.9456781250002</v>
      </c>
    </row>
    <row r="131" spans="1:6">
      <c r="A131" s="35" t="s">
        <v>17</v>
      </c>
      <c r="B131" s="36">
        <f>ROUND(SUM(B106:B106,B109:B110,B113:B114,B120:B120,B128),0)</f>
        <v>1473</v>
      </c>
      <c r="C131" s="36">
        <f>ROUND(SUM(C106:C106,C109:C110,C113:C114,C120:C120,C128),0)</f>
        <v>1993</v>
      </c>
      <c r="D131" s="36">
        <f>ROUND(SUM(D106:D106,D109:D110,D113:D114,D120:D120,D128),0)</f>
        <v>2887</v>
      </c>
      <c r="E131" s="36">
        <f>ROUND(SUM(E106:E106,E109:E110,E113:E114,E120:E120,E128),0)</f>
        <v>4467</v>
      </c>
      <c r="F131" s="36">
        <f>ROUND(SUM(F106:F106,F109:F110,F113:F114,F120:F120,F128),0)</f>
        <v>7259</v>
      </c>
    </row>
    <row r="132" spans="1:6">
      <c r="B132" s="17"/>
      <c r="C132" s="6"/>
      <c r="D132" s="6"/>
      <c r="E132" s="6"/>
      <c r="F13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6"/>
  <sheetViews>
    <sheetView topLeftCell="A33" zoomScale="145" zoomScaleNormal="145" workbookViewId="0">
      <selection activeCell="B23" sqref="B23"/>
    </sheetView>
  </sheetViews>
  <sheetFormatPr baseColWidth="10" defaultColWidth="11.42578125" defaultRowHeight="12"/>
  <cols>
    <col min="1" max="1" width="29.85546875" style="3" customWidth="1"/>
    <col min="2" max="4" width="8" style="3" bestFit="1" customWidth="1"/>
    <col min="5" max="6" width="9.140625" style="3" bestFit="1" customWidth="1"/>
    <col min="7" max="11" width="16.42578125" style="3" bestFit="1" customWidth="1"/>
    <col min="12" max="16384" width="11.42578125" style="3"/>
  </cols>
  <sheetData>
    <row r="2" spans="1:6">
      <c r="A2" s="69" t="s">
        <v>31</v>
      </c>
      <c r="B2" s="39"/>
      <c r="C2" s="62"/>
      <c r="D2" s="62"/>
      <c r="E2" s="62"/>
      <c r="F2" s="62"/>
    </row>
    <row r="3" spans="1:6">
      <c r="A3" s="62"/>
      <c r="B3" s="62"/>
      <c r="C3" s="62"/>
      <c r="D3" s="62"/>
      <c r="E3" s="62"/>
      <c r="F3" s="62"/>
    </row>
    <row r="4" spans="1:6">
      <c r="A4" s="70" t="s">
        <v>33</v>
      </c>
      <c r="B4" s="62"/>
      <c r="C4" s="62"/>
      <c r="D4" s="62"/>
      <c r="E4" s="62"/>
      <c r="F4" s="62"/>
    </row>
    <row r="5" spans="1:6">
      <c r="A5" s="71"/>
      <c r="B5" s="62"/>
      <c r="C5" s="62"/>
      <c r="D5" s="62"/>
      <c r="E5" s="62"/>
      <c r="F5" s="62"/>
    </row>
    <row r="6" spans="1:6">
      <c r="A6" s="42" t="s">
        <v>34</v>
      </c>
      <c r="B6" s="42" t="s">
        <v>2</v>
      </c>
      <c r="C6" s="42" t="s">
        <v>3</v>
      </c>
      <c r="D6" s="42" t="s">
        <v>4</v>
      </c>
      <c r="E6" s="42" t="s">
        <v>5</v>
      </c>
      <c r="F6" s="42" t="s">
        <v>6</v>
      </c>
    </row>
    <row r="7" spans="1:6">
      <c r="A7" s="72" t="s">
        <v>61</v>
      </c>
      <c r="B7" s="73">
        <v>1</v>
      </c>
      <c r="C7" s="73">
        <v>1</v>
      </c>
      <c r="D7" s="73">
        <v>1</v>
      </c>
      <c r="E7" s="73">
        <v>1</v>
      </c>
      <c r="F7" s="73">
        <v>1</v>
      </c>
    </row>
    <row r="8" spans="1:6">
      <c r="A8" s="74" t="s">
        <v>62</v>
      </c>
      <c r="B8" s="75">
        <v>1</v>
      </c>
      <c r="C8" s="75">
        <v>1</v>
      </c>
      <c r="D8" s="75">
        <v>1</v>
      </c>
      <c r="E8" s="75">
        <v>1</v>
      </c>
      <c r="F8" s="75">
        <v>1</v>
      </c>
    </row>
    <row r="9" spans="1:6">
      <c r="A9" s="72" t="s">
        <v>80</v>
      </c>
      <c r="B9" s="73">
        <v>1</v>
      </c>
      <c r="C9" s="73">
        <v>1</v>
      </c>
      <c r="D9" s="73">
        <v>1</v>
      </c>
      <c r="E9" s="73">
        <v>1</v>
      </c>
      <c r="F9" s="73">
        <v>1</v>
      </c>
    </row>
    <row r="10" spans="1:6">
      <c r="A10" s="74" t="s">
        <v>64</v>
      </c>
      <c r="B10" s="75">
        <v>1</v>
      </c>
      <c r="C10" s="75">
        <v>1</v>
      </c>
      <c r="D10" s="75">
        <v>1</v>
      </c>
      <c r="E10" s="75">
        <v>1</v>
      </c>
      <c r="F10" s="75">
        <v>1</v>
      </c>
    </row>
    <row r="11" spans="1:6">
      <c r="A11" s="72" t="s">
        <v>83</v>
      </c>
      <c r="B11" s="73">
        <v>5</v>
      </c>
      <c r="C11" s="73">
        <v>5</v>
      </c>
      <c r="D11" s="73">
        <v>6</v>
      </c>
      <c r="E11" s="73">
        <v>7</v>
      </c>
      <c r="F11" s="73">
        <v>8</v>
      </c>
    </row>
    <row r="12" spans="1:6">
      <c r="A12" s="74" t="s">
        <v>144</v>
      </c>
      <c r="B12" s="75">
        <v>3</v>
      </c>
      <c r="C12" s="75">
        <v>4</v>
      </c>
      <c r="D12" s="75">
        <v>5</v>
      </c>
      <c r="E12" s="75">
        <v>5</v>
      </c>
      <c r="F12" s="75">
        <v>5</v>
      </c>
    </row>
    <row r="13" spans="1:6">
      <c r="A13" s="72" t="s">
        <v>82</v>
      </c>
      <c r="B13" s="73">
        <f>ROUND(SUM(Revenue!B107:B108,Revenue!B111:B112)/6,0)+ROUND(SUM(Revenue!B103)/20,0)</f>
        <v>9</v>
      </c>
      <c r="C13" s="73">
        <f>ROUND(SUM(Revenue!C107:C108,Revenue!C111:C112)/6,0)+ROUND(SUM(Revenue!C103)/20,0)</f>
        <v>11</v>
      </c>
      <c r="D13" s="73">
        <f>ROUND(SUM(Revenue!D107:D108,Revenue!D111:D112)/6,0)+ROUND(SUM(Revenue!D103)/20,0)</f>
        <v>15</v>
      </c>
      <c r="E13" s="73">
        <f>ROUND(SUM(Revenue!E107:E108,Revenue!E111:E112)/6,0)+ROUND(SUM(Revenue!E103)/20,0)</f>
        <v>23</v>
      </c>
      <c r="F13" s="73">
        <f>ROUND(SUM(Revenue!F107:F108,Revenue!F111:F112)/6,0)+ROUND(SUM(Revenue!F103)/20,0)</f>
        <v>38</v>
      </c>
    </row>
    <row r="14" spans="1:6">
      <c r="A14" s="74" t="s">
        <v>84</v>
      </c>
      <c r="B14" s="75">
        <v>1</v>
      </c>
      <c r="C14" s="75">
        <v>2</v>
      </c>
      <c r="D14" s="75">
        <v>2</v>
      </c>
      <c r="E14" s="75">
        <v>2</v>
      </c>
      <c r="F14" s="75">
        <v>2</v>
      </c>
    </row>
    <row r="15" spans="1:6">
      <c r="A15" s="72" t="s">
        <v>63</v>
      </c>
      <c r="B15" s="73">
        <f>ROUND(SUM(Revenue!B107:B108,Revenue!B111:B112)/12,0)+ROUND(SUM(Revenue!B103)/40,0)</f>
        <v>4</v>
      </c>
      <c r="C15" s="73">
        <f>ROUND(SUM(Revenue!C107:C108,Revenue!C111:C112)/12,0)+ROUND(SUM(Revenue!C103)/40,0)</f>
        <v>6</v>
      </c>
      <c r="D15" s="73">
        <f>ROUND(SUM(Revenue!D107:D108,Revenue!D111:D112)/12,0)+ROUND(SUM(Revenue!D103)/40,0)</f>
        <v>8</v>
      </c>
      <c r="E15" s="73">
        <f>ROUND(SUM(Revenue!E107:E108,Revenue!E111:E112)/12,0)+ROUND(SUM(Revenue!E103)/40,0)</f>
        <v>11</v>
      </c>
      <c r="F15" s="73">
        <f>ROUND(SUM(Revenue!F107:F108,Revenue!F111:F112)/12,0)+ROUND(SUM(Revenue!F103)/40,0)</f>
        <v>18</v>
      </c>
    </row>
    <row r="16" spans="1:6">
      <c r="A16" s="74" t="s">
        <v>79</v>
      </c>
      <c r="B16" s="75">
        <v>1</v>
      </c>
      <c r="C16" s="75">
        <v>1</v>
      </c>
      <c r="D16" s="75">
        <v>1</v>
      </c>
      <c r="E16" s="75">
        <v>1</v>
      </c>
      <c r="F16" s="75">
        <v>1</v>
      </c>
    </row>
    <row r="17" spans="1:6">
      <c r="A17" s="72" t="s">
        <v>65</v>
      </c>
      <c r="B17" s="73">
        <v>1</v>
      </c>
      <c r="C17" s="73">
        <v>1</v>
      </c>
      <c r="D17" s="73">
        <v>1</v>
      </c>
      <c r="E17" s="73">
        <v>1</v>
      </c>
      <c r="F17" s="73">
        <v>1</v>
      </c>
    </row>
    <row r="18" spans="1:6">
      <c r="A18" s="61" t="s">
        <v>35</v>
      </c>
      <c r="B18" s="54">
        <f>SUM(B7:B17)</f>
        <v>28</v>
      </c>
      <c r="C18" s="54">
        <f>SUM(C7:C17)</f>
        <v>34</v>
      </c>
      <c r="D18" s="54">
        <f>SUM(D7:D17)</f>
        <v>42</v>
      </c>
      <c r="E18" s="54">
        <f>SUM(E7:E17)</f>
        <v>54</v>
      </c>
      <c r="F18" s="54">
        <f>SUM(F7:F17)</f>
        <v>77</v>
      </c>
    </row>
    <row r="19" spans="1:6">
      <c r="A19" s="62"/>
      <c r="B19" s="62"/>
      <c r="C19" s="62"/>
      <c r="D19" s="62"/>
      <c r="E19" s="62"/>
      <c r="F19" s="62"/>
    </row>
    <row r="20" spans="1:6">
      <c r="A20" s="70" t="s">
        <v>36</v>
      </c>
      <c r="B20" s="62"/>
      <c r="C20" s="62"/>
      <c r="D20" s="62"/>
      <c r="E20" s="62"/>
      <c r="F20" s="62"/>
    </row>
    <row r="21" spans="1:6" s="8" customFormat="1">
      <c r="A21" s="51"/>
      <c r="B21" s="39"/>
      <c r="C21" s="39"/>
      <c r="D21" s="39"/>
      <c r="E21" s="39"/>
      <c r="F21" s="39"/>
    </row>
    <row r="22" spans="1:6">
      <c r="A22" s="41" t="s">
        <v>145</v>
      </c>
      <c r="B22" s="42" t="str">
        <f>+B6</f>
        <v>Y1</v>
      </c>
      <c r="C22" s="42" t="str">
        <f>+C6</f>
        <v>Y2</v>
      </c>
      <c r="D22" s="42" t="str">
        <f>+D6</f>
        <v>Y3</v>
      </c>
      <c r="E22" s="42" t="str">
        <f>+E6</f>
        <v>Y4</v>
      </c>
      <c r="F22" s="42" t="str">
        <f>+F6</f>
        <v>Y5</v>
      </c>
    </row>
    <row r="23" spans="1:6">
      <c r="A23" s="37" t="str">
        <f>A7</f>
        <v>CEO</v>
      </c>
      <c r="B23" s="76">
        <f>7.5/3</f>
        <v>2.5</v>
      </c>
      <c r="C23" s="76">
        <f>B23*(1+$B$35)</f>
        <v>2.75</v>
      </c>
      <c r="D23" s="76">
        <f>C23*(1+$B$35)</f>
        <v>3.0250000000000004</v>
      </c>
      <c r="E23" s="76">
        <f>D23*(1+$B$35)</f>
        <v>3.3275000000000006</v>
      </c>
      <c r="F23" s="76">
        <f>E23*(1+$B$35)</f>
        <v>3.6602500000000009</v>
      </c>
    </row>
    <row r="24" spans="1:6">
      <c r="A24" s="39" t="str">
        <f>A8</f>
        <v>CTO</v>
      </c>
      <c r="B24" s="77">
        <v>2.5</v>
      </c>
      <c r="C24" s="77">
        <f t="shared" ref="C24:F24" si="0">B24*(1+$B$35)</f>
        <v>2.75</v>
      </c>
      <c r="D24" s="77">
        <f t="shared" si="0"/>
        <v>3.0250000000000004</v>
      </c>
      <c r="E24" s="77">
        <f t="shared" si="0"/>
        <v>3.3275000000000006</v>
      </c>
      <c r="F24" s="77">
        <f t="shared" si="0"/>
        <v>3.6602500000000009</v>
      </c>
    </row>
    <row r="25" spans="1:6">
      <c r="A25" s="37" t="str">
        <f t="shared" ref="A25:A26" si="1">A9</f>
        <v>CFO</v>
      </c>
      <c r="B25" s="76">
        <f>6/3</f>
        <v>2</v>
      </c>
      <c r="C25" s="76">
        <f t="shared" ref="C25:F25" si="2">B25*(1+$B$35)</f>
        <v>2.2000000000000002</v>
      </c>
      <c r="D25" s="76">
        <f t="shared" si="2"/>
        <v>2.4200000000000004</v>
      </c>
      <c r="E25" s="76">
        <f t="shared" si="2"/>
        <v>2.6620000000000008</v>
      </c>
      <c r="F25" s="76">
        <f t="shared" si="2"/>
        <v>2.9282000000000012</v>
      </c>
    </row>
    <row r="26" spans="1:6">
      <c r="A26" s="39" t="str">
        <f t="shared" si="1"/>
        <v>Sales Director</v>
      </c>
      <c r="B26" s="77">
        <f>7.5/3</f>
        <v>2.5</v>
      </c>
      <c r="C26" s="77">
        <f t="shared" ref="C26:F26" si="3">B26*(1+$B$35)</f>
        <v>2.75</v>
      </c>
      <c r="D26" s="77">
        <f t="shared" si="3"/>
        <v>3.0250000000000004</v>
      </c>
      <c r="E26" s="77">
        <f t="shared" si="3"/>
        <v>3.3275000000000006</v>
      </c>
      <c r="F26" s="77">
        <f t="shared" si="3"/>
        <v>3.6602500000000009</v>
      </c>
    </row>
    <row r="27" spans="1:6">
      <c r="A27" s="37" t="str">
        <f>A11</f>
        <v>Software developers</v>
      </c>
      <c r="B27" s="76">
        <v>1.5</v>
      </c>
      <c r="C27" s="76">
        <f t="shared" ref="C27:F27" si="4">B27*(1+$B$35)</f>
        <v>1.6500000000000001</v>
      </c>
      <c r="D27" s="76">
        <f t="shared" si="4"/>
        <v>1.8150000000000004</v>
      </c>
      <c r="E27" s="76">
        <f t="shared" si="4"/>
        <v>1.9965000000000006</v>
      </c>
      <c r="F27" s="76">
        <f t="shared" si="4"/>
        <v>2.1961500000000007</v>
      </c>
    </row>
    <row r="28" spans="1:6">
      <c r="A28" s="39" t="str">
        <f>A12</f>
        <v xml:space="preserve">Embedded/Mecatronic  developers </v>
      </c>
      <c r="B28" s="77">
        <v>1.5</v>
      </c>
      <c r="C28" s="77">
        <f t="shared" ref="C28:F28" si="5">B28*(1+$B$35)</f>
        <v>1.6500000000000001</v>
      </c>
      <c r="D28" s="77">
        <f t="shared" si="5"/>
        <v>1.8150000000000004</v>
      </c>
      <c r="E28" s="77">
        <f t="shared" si="5"/>
        <v>1.9965000000000006</v>
      </c>
      <c r="F28" s="77">
        <f t="shared" si="5"/>
        <v>2.1961500000000007</v>
      </c>
    </row>
    <row r="29" spans="1:6">
      <c r="A29" s="37" t="str">
        <f t="shared" ref="A29:A30" si="6">A13</f>
        <v>Integration developers</v>
      </c>
      <c r="B29" s="76">
        <f t="shared" ref="B29" si="7">3/3</f>
        <v>1</v>
      </c>
      <c r="C29" s="76">
        <f t="shared" ref="C29:F29" si="8">B29*(1+$B$35)</f>
        <v>1.1000000000000001</v>
      </c>
      <c r="D29" s="76">
        <f t="shared" si="8"/>
        <v>1.2100000000000002</v>
      </c>
      <c r="E29" s="76">
        <f t="shared" si="8"/>
        <v>1.3310000000000004</v>
      </c>
      <c r="F29" s="76">
        <f t="shared" si="8"/>
        <v>1.4641000000000006</v>
      </c>
    </row>
    <row r="30" spans="1:6">
      <c r="A30" s="39" t="str">
        <f t="shared" si="6"/>
        <v>Technicians (Hardware)</v>
      </c>
      <c r="B30" s="77">
        <f>2/3</f>
        <v>0.66666666666666663</v>
      </c>
      <c r="C30" s="77">
        <f t="shared" ref="C30:F30" si="9">B30*(1+$B$35)</f>
        <v>0.73333333333333339</v>
      </c>
      <c r="D30" s="77">
        <f t="shared" si="9"/>
        <v>0.80666666666666675</v>
      </c>
      <c r="E30" s="77">
        <f t="shared" si="9"/>
        <v>0.88733333333333353</v>
      </c>
      <c r="F30" s="77">
        <f t="shared" si="9"/>
        <v>0.97606666666666697</v>
      </c>
    </row>
    <row r="31" spans="1:6">
      <c r="A31" s="37" t="str">
        <f>A15</f>
        <v>Account managers</v>
      </c>
      <c r="B31" s="76">
        <f>2/3</f>
        <v>0.66666666666666663</v>
      </c>
      <c r="C31" s="76">
        <f t="shared" ref="C31:F31" si="10">B31*(1+$B$35)</f>
        <v>0.73333333333333339</v>
      </c>
      <c r="D31" s="76">
        <f t="shared" si="10"/>
        <v>0.80666666666666675</v>
      </c>
      <c r="E31" s="76">
        <f t="shared" si="10"/>
        <v>0.88733333333333353</v>
      </c>
      <c r="F31" s="76">
        <f t="shared" si="10"/>
        <v>0.97606666666666697</v>
      </c>
    </row>
    <row r="32" spans="1:6">
      <c r="A32" s="39" t="str">
        <f>A16</f>
        <v>Marketer</v>
      </c>
      <c r="B32" s="77">
        <f>3/3</f>
        <v>1</v>
      </c>
      <c r="C32" s="77">
        <f t="shared" ref="C32:F32" si="11">B32*(1+$B$35)</f>
        <v>1.1000000000000001</v>
      </c>
      <c r="D32" s="77">
        <f t="shared" si="11"/>
        <v>1.2100000000000002</v>
      </c>
      <c r="E32" s="77">
        <f t="shared" si="11"/>
        <v>1.3310000000000004</v>
      </c>
      <c r="F32" s="77">
        <f t="shared" si="11"/>
        <v>1.4641000000000006</v>
      </c>
    </row>
    <row r="33" spans="1:6">
      <c r="A33" s="37" t="str">
        <f>A17</f>
        <v>CM</v>
      </c>
      <c r="B33" s="76">
        <f>1.8/3</f>
        <v>0.6</v>
      </c>
      <c r="C33" s="76">
        <f t="shared" ref="C33:F33" si="12">B33*(1+$B$35)</f>
        <v>0.66</v>
      </c>
      <c r="D33" s="76">
        <f t="shared" si="12"/>
        <v>0.72600000000000009</v>
      </c>
      <c r="E33" s="76">
        <f t="shared" si="12"/>
        <v>0.7986000000000002</v>
      </c>
      <c r="F33" s="76">
        <f t="shared" si="12"/>
        <v>0.87846000000000024</v>
      </c>
    </row>
    <row r="34" spans="1:6">
      <c r="A34" s="62"/>
      <c r="B34" s="78"/>
      <c r="C34" s="62"/>
      <c r="D34" s="62"/>
      <c r="E34" s="62"/>
      <c r="F34" s="62"/>
    </row>
    <row r="35" spans="1:6">
      <c r="A35" s="79" t="s">
        <v>37</v>
      </c>
      <c r="B35" s="80">
        <v>0.1</v>
      </c>
      <c r="C35" s="62"/>
      <c r="D35" s="62"/>
      <c r="E35" s="62"/>
      <c r="F35" s="62"/>
    </row>
    <row r="36" spans="1:6">
      <c r="A36" s="79" t="s">
        <v>38</v>
      </c>
      <c r="B36" s="81">
        <v>13</v>
      </c>
      <c r="C36" s="62"/>
      <c r="D36" s="62"/>
      <c r="E36" s="62"/>
      <c r="F36" s="62"/>
    </row>
    <row r="37" spans="1:6">
      <c r="A37" s="79" t="s">
        <v>39</v>
      </c>
      <c r="B37" s="80">
        <v>0.4</v>
      </c>
      <c r="C37" s="62"/>
      <c r="D37" s="62"/>
      <c r="E37" s="62"/>
      <c r="F37" s="62"/>
    </row>
    <row r="38" spans="1:6">
      <c r="A38" s="62"/>
      <c r="B38" s="62"/>
      <c r="C38" s="62"/>
      <c r="D38" s="62"/>
      <c r="E38" s="62"/>
      <c r="F38" s="62"/>
    </row>
    <row r="39" spans="1:6">
      <c r="A39" s="70" t="s">
        <v>32</v>
      </c>
      <c r="B39" s="82"/>
      <c r="C39" s="82"/>
      <c r="D39" s="82"/>
      <c r="E39" s="82"/>
      <c r="F39" s="82"/>
    </row>
    <row r="40" spans="1:6">
      <c r="A40" s="83"/>
      <c r="B40" s="82"/>
      <c r="C40" s="82"/>
      <c r="D40" s="82"/>
      <c r="E40" s="82"/>
      <c r="F40" s="82"/>
    </row>
    <row r="41" spans="1:6">
      <c r="A41" s="41" t="s">
        <v>145</v>
      </c>
      <c r="B41" s="42" t="str">
        <f>B22</f>
        <v>Y1</v>
      </c>
      <c r="C41" s="42" t="str">
        <f>C22</f>
        <v>Y2</v>
      </c>
      <c r="D41" s="42" t="str">
        <f>D22</f>
        <v>Y3</v>
      </c>
      <c r="E41" s="42" t="str">
        <f>E22</f>
        <v>Y4</v>
      </c>
      <c r="F41" s="42" t="str">
        <f>F22</f>
        <v>Y5</v>
      </c>
    </row>
    <row r="42" spans="1:6">
      <c r="A42" s="79" t="str">
        <f>+A23</f>
        <v>CEO</v>
      </c>
      <c r="B42" s="73">
        <f>B7*B23*$B$36</f>
        <v>32.5</v>
      </c>
      <c r="C42" s="73">
        <f>C7*C23*$B$36</f>
        <v>35.75</v>
      </c>
      <c r="D42" s="73">
        <f t="shared" ref="D42:F42" si="13">D7*D23*$B$36</f>
        <v>39.325000000000003</v>
      </c>
      <c r="E42" s="73">
        <f t="shared" si="13"/>
        <v>43.257500000000007</v>
      </c>
      <c r="F42" s="73">
        <f t="shared" si="13"/>
        <v>47.583250000000014</v>
      </c>
    </row>
    <row r="43" spans="1:6">
      <c r="A43" s="84" t="str">
        <f>+A24</f>
        <v>CTO</v>
      </c>
      <c r="B43" s="75">
        <f t="shared" ref="B43:F52" si="14">B8*B24*$B$36</f>
        <v>32.5</v>
      </c>
      <c r="C43" s="75">
        <f t="shared" si="14"/>
        <v>35.75</v>
      </c>
      <c r="D43" s="75">
        <f t="shared" si="14"/>
        <v>39.325000000000003</v>
      </c>
      <c r="E43" s="75">
        <f t="shared" si="14"/>
        <v>43.257500000000007</v>
      </c>
      <c r="F43" s="75">
        <f t="shared" si="14"/>
        <v>47.583250000000014</v>
      </c>
    </row>
    <row r="44" spans="1:6">
      <c r="A44" s="79" t="str">
        <f t="shared" ref="A44:A45" si="15">+A25</f>
        <v>CFO</v>
      </c>
      <c r="B44" s="73">
        <f t="shared" si="14"/>
        <v>26</v>
      </c>
      <c r="C44" s="73">
        <f t="shared" si="14"/>
        <v>28.6</v>
      </c>
      <c r="D44" s="73">
        <f t="shared" si="14"/>
        <v>31.460000000000004</v>
      </c>
      <c r="E44" s="73">
        <f t="shared" si="14"/>
        <v>34.606000000000009</v>
      </c>
      <c r="F44" s="73">
        <f t="shared" si="14"/>
        <v>38.066600000000015</v>
      </c>
    </row>
    <row r="45" spans="1:6">
      <c r="A45" s="84" t="str">
        <f t="shared" si="15"/>
        <v>Sales Director</v>
      </c>
      <c r="B45" s="75">
        <f t="shared" si="14"/>
        <v>32.5</v>
      </c>
      <c r="C45" s="75">
        <f t="shared" si="14"/>
        <v>35.75</v>
      </c>
      <c r="D45" s="75">
        <f t="shared" si="14"/>
        <v>39.325000000000003</v>
      </c>
      <c r="E45" s="75">
        <f t="shared" si="14"/>
        <v>43.257500000000007</v>
      </c>
      <c r="F45" s="75">
        <f t="shared" si="14"/>
        <v>47.583250000000014</v>
      </c>
    </row>
    <row r="46" spans="1:6">
      <c r="A46" s="79" t="str">
        <f t="shared" ref="A46:A52" si="16">+A27</f>
        <v>Software developers</v>
      </c>
      <c r="B46" s="73">
        <f t="shared" si="14"/>
        <v>97.5</v>
      </c>
      <c r="C46" s="73">
        <f t="shared" si="14"/>
        <v>107.25</v>
      </c>
      <c r="D46" s="73">
        <f t="shared" si="14"/>
        <v>141.57000000000002</v>
      </c>
      <c r="E46" s="73">
        <f t="shared" si="14"/>
        <v>181.68150000000006</v>
      </c>
      <c r="F46" s="73">
        <f t="shared" si="14"/>
        <v>228.39960000000008</v>
      </c>
    </row>
    <row r="47" spans="1:6">
      <c r="A47" s="84" t="str">
        <f t="shared" si="16"/>
        <v xml:space="preserve">Embedded/Mecatronic  developers </v>
      </c>
      <c r="B47" s="75">
        <f t="shared" si="14"/>
        <v>58.5</v>
      </c>
      <c r="C47" s="75">
        <f t="shared" si="14"/>
        <v>85.800000000000011</v>
      </c>
      <c r="D47" s="75">
        <f t="shared" si="14"/>
        <v>117.97500000000004</v>
      </c>
      <c r="E47" s="75">
        <f t="shared" si="14"/>
        <v>129.77250000000004</v>
      </c>
      <c r="F47" s="75">
        <f t="shared" si="14"/>
        <v>142.74975000000006</v>
      </c>
    </row>
    <row r="48" spans="1:6">
      <c r="A48" s="79" t="str">
        <f t="shared" si="16"/>
        <v>Integration developers</v>
      </c>
      <c r="B48" s="73">
        <f t="shared" si="14"/>
        <v>117</v>
      </c>
      <c r="C48" s="73">
        <f t="shared" si="14"/>
        <v>157.30000000000001</v>
      </c>
      <c r="D48" s="73">
        <f t="shared" si="14"/>
        <v>235.95000000000002</v>
      </c>
      <c r="E48" s="73">
        <f t="shared" si="14"/>
        <v>397.96900000000011</v>
      </c>
      <c r="F48" s="73">
        <f t="shared" si="14"/>
        <v>723.26540000000034</v>
      </c>
    </row>
    <row r="49" spans="1:6">
      <c r="A49" s="84" t="str">
        <f t="shared" si="16"/>
        <v>Technicians (Hardware)</v>
      </c>
      <c r="B49" s="75">
        <f t="shared" si="14"/>
        <v>8.6666666666666661</v>
      </c>
      <c r="C49" s="75">
        <f t="shared" si="14"/>
        <v>19.06666666666667</v>
      </c>
      <c r="D49" s="75">
        <f t="shared" si="14"/>
        <v>20.973333333333336</v>
      </c>
      <c r="E49" s="75">
        <f t="shared" si="14"/>
        <v>23.070666666666671</v>
      </c>
      <c r="F49" s="75">
        <f t="shared" si="14"/>
        <v>25.377733333333342</v>
      </c>
    </row>
    <row r="50" spans="1:6">
      <c r="A50" s="79" t="str">
        <f t="shared" si="16"/>
        <v>Account managers</v>
      </c>
      <c r="B50" s="73">
        <f t="shared" si="14"/>
        <v>34.666666666666664</v>
      </c>
      <c r="C50" s="73">
        <f t="shared" si="14"/>
        <v>57.2</v>
      </c>
      <c r="D50" s="73">
        <f t="shared" si="14"/>
        <v>83.893333333333345</v>
      </c>
      <c r="E50" s="73">
        <f t="shared" si="14"/>
        <v>126.88866666666669</v>
      </c>
      <c r="F50" s="73">
        <f t="shared" si="14"/>
        <v>228.39960000000008</v>
      </c>
    </row>
    <row r="51" spans="1:6">
      <c r="A51" s="84" t="str">
        <f t="shared" si="16"/>
        <v>Marketer</v>
      </c>
      <c r="B51" s="75">
        <f t="shared" si="14"/>
        <v>13</v>
      </c>
      <c r="C51" s="75">
        <f t="shared" si="14"/>
        <v>14.3</v>
      </c>
      <c r="D51" s="75">
        <f t="shared" si="14"/>
        <v>15.730000000000002</v>
      </c>
      <c r="E51" s="75">
        <f t="shared" si="14"/>
        <v>17.303000000000004</v>
      </c>
      <c r="F51" s="75">
        <f t="shared" si="14"/>
        <v>19.033300000000008</v>
      </c>
    </row>
    <row r="52" spans="1:6">
      <c r="A52" s="79" t="str">
        <f t="shared" si="16"/>
        <v>CM</v>
      </c>
      <c r="B52" s="73">
        <f t="shared" si="14"/>
        <v>7.8</v>
      </c>
      <c r="C52" s="73">
        <f t="shared" si="14"/>
        <v>8.58</v>
      </c>
      <c r="D52" s="73">
        <f t="shared" si="14"/>
        <v>9.4380000000000006</v>
      </c>
      <c r="E52" s="73">
        <f t="shared" si="14"/>
        <v>10.381800000000002</v>
      </c>
      <c r="F52" s="73">
        <f t="shared" si="14"/>
        <v>11.419980000000002</v>
      </c>
    </row>
    <row r="53" spans="1:6">
      <c r="A53" s="47" t="s">
        <v>40</v>
      </c>
      <c r="B53" s="48">
        <f>SUM(B42:B52)</f>
        <v>460.63333333333338</v>
      </c>
      <c r="C53" s="48">
        <f>SUM(C42:C52)</f>
        <v>585.34666666666669</v>
      </c>
      <c r="D53" s="48">
        <f>SUM(D42:D52)</f>
        <v>774.96466666666674</v>
      </c>
      <c r="E53" s="48">
        <f>SUM(E42:E52)</f>
        <v>1051.4456333333337</v>
      </c>
      <c r="F53" s="48">
        <f>SUM(F42:F52)</f>
        <v>1559.4617133333338</v>
      </c>
    </row>
    <row r="54" spans="1:6">
      <c r="A54" s="84" t="s">
        <v>39</v>
      </c>
      <c r="B54" s="44">
        <f>B53*$B$37</f>
        <v>184.25333333333336</v>
      </c>
      <c r="C54" s="44">
        <f t="shared" ref="C54:F54" si="17">C53*$B$37</f>
        <v>234.13866666666669</v>
      </c>
      <c r="D54" s="44">
        <f t="shared" si="17"/>
        <v>309.98586666666671</v>
      </c>
      <c r="E54" s="44">
        <f t="shared" si="17"/>
        <v>420.57825333333352</v>
      </c>
      <c r="F54" s="44">
        <f t="shared" si="17"/>
        <v>623.78468533333353</v>
      </c>
    </row>
    <row r="55" spans="1:6">
      <c r="A55" s="53" t="s">
        <v>85</v>
      </c>
      <c r="B55" s="54">
        <f>+B53+B54</f>
        <v>644.88666666666677</v>
      </c>
      <c r="C55" s="54">
        <f t="shared" ref="C55:F55" si="18">+C53+C54</f>
        <v>819.48533333333341</v>
      </c>
      <c r="D55" s="54">
        <f t="shared" si="18"/>
        <v>1084.9505333333334</v>
      </c>
      <c r="E55" s="54">
        <f t="shared" si="18"/>
        <v>1472.0238866666673</v>
      </c>
      <c r="F55" s="54">
        <f t="shared" si="18"/>
        <v>2183.2463986666671</v>
      </c>
    </row>
    <row r="56" spans="1:6">
      <c r="B56" s="24"/>
      <c r="C56" s="24"/>
      <c r="D56" s="24"/>
      <c r="E56" s="24"/>
      <c r="F56" s="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1"/>
  <sheetViews>
    <sheetView zoomScale="130" zoomScaleNormal="130" workbookViewId="0">
      <selection activeCell="C29" sqref="C29"/>
    </sheetView>
  </sheetViews>
  <sheetFormatPr baseColWidth="10" defaultColWidth="11.42578125" defaultRowHeight="12"/>
  <cols>
    <col min="1" max="1" width="28" style="3" bestFit="1" customWidth="1"/>
    <col min="2" max="2" width="19.28515625" style="3" bestFit="1" customWidth="1"/>
    <col min="3" max="4" width="11.42578125" style="3"/>
    <col min="5" max="9" width="16.42578125" style="3" bestFit="1" customWidth="1"/>
    <col min="10" max="16384" width="11.42578125" style="3"/>
  </cols>
  <sheetData>
    <row r="2" spans="1:7">
      <c r="A2" s="56" t="s">
        <v>41</v>
      </c>
      <c r="B2" s="62"/>
      <c r="C2" s="62"/>
      <c r="D2" s="62"/>
      <c r="E2" s="62"/>
      <c r="F2" s="62"/>
      <c r="G2" s="62"/>
    </row>
    <row r="3" spans="1:7">
      <c r="A3" s="62"/>
      <c r="B3" s="62"/>
      <c r="C3" s="62"/>
      <c r="D3" s="62"/>
      <c r="E3" s="62"/>
      <c r="F3" s="62"/>
      <c r="G3" s="62"/>
    </row>
    <row r="4" spans="1:7">
      <c r="A4" s="47" t="s">
        <v>56</v>
      </c>
      <c r="B4" s="62"/>
      <c r="C4" s="62"/>
      <c r="D4" s="62"/>
      <c r="E4" s="62"/>
      <c r="F4" s="62"/>
      <c r="G4" s="62"/>
    </row>
    <row r="5" spans="1:7">
      <c r="A5" s="62"/>
      <c r="B5" s="62"/>
      <c r="C5" s="62"/>
      <c r="D5" s="62"/>
      <c r="E5" s="62"/>
      <c r="F5" s="62"/>
      <c r="G5" s="62"/>
    </row>
    <row r="6" spans="1:7">
      <c r="A6" s="79" t="s">
        <v>58</v>
      </c>
      <c r="B6" s="85">
        <v>0.15</v>
      </c>
      <c r="C6" s="62"/>
      <c r="D6" s="62"/>
      <c r="E6" s="62"/>
      <c r="F6" s="62"/>
      <c r="G6" s="62"/>
    </row>
    <row r="7" spans="1:7">
      <c r="A7" s="62"/>
      <c r="B7" s="62"/>
      <c r="C7" s="62"/>
      <c r="D7" s="62"/>
      <c r="E7" s="62"/>
      <c r="F7" s="62"/>
      <c r="G7" s="62"/>
    </row>
    <row r="8" spans="1:7">
      <c r="A8" s="41" t="s">
        <v>1</v>
      </c>
      <c r="B8" s="42" t="s">
        <v>2</v>
      </c>
      <c r="C8" s="42" t="s">
        <v>3</v>
      </c>
      <c r="D8" s="42" t="s">
        <v>4</v>
      </c>
      <c r="E8" s="42" t="s">
        <v>5</v>
      </c>
      <c r="F8" s="42" t="s">
        <v>6</v>
      </c>
      <c r="G8" s="62"/>
    </row>
    <row r="9" spans="1:7">
      <c r="A9" s="37" t="s">
        <v>59</v>
      </c>
      <c r="B9" s="86">
        <f>$B$6*(Revenue!B128+Revenue!B129)</f>
        <v>15.75</v>
      </c>
      <c r="C9" s="86">
        <f>$B$6*(Revenue!C128+Revenue!C129)</f>
        <v>18.899999999999999</v>
      </c>
      <c r="D9" s="86">
        <f>$B$6*(Revenue!D128+Revenue!D129)</f>
        <v>32.248125000000002</v>
      </c>
      <c r="E9" s="86">
        <f>$B$6*(Revenue!E128+Revenue!E129)</f>
        <v>46.883812500000005</v>
      </c>
      <c r="F9" s="86">
        <f>$B$6*(Revenue!F128+Revenue!F129)</f>
        <v>92.986228125000025</v>
      </c>
      <c r="G9" s="62"/>
    </row>
    <row r="10" spans="1:7">
      <c r="A10" s="53" t="s">
        <v>57</v>
      </c>
      <c r="B10" s="87">
        <f>SUM(B9:B9)</f>
        <v>15.75</v>
      </c>
      <c r="C10" s="87">
        <f>SUM(C9:C9)</f>
        <v>18.899999999999999</v>
      </c>
      <c r="D10" s="87">
        <f>SUM(D9:D9)</f>
        <v>32.248125000000002</v>
      </c>
      <c r="E10" s="87">
        <f>SUM(E9:E9)</f>
        <v>46.883812500000005</v>
      </c>
      <c r="F10" s="87">
        <f>SUM(F9:F9)</f>
        <v>92.986228125000025</v>
      </c>
      <c r="G10" s="62"/>
    </row>
    <row r="11" spans="1:7">
      <c r="A11" s="62"/>
      <c r="B11" s="62"/>
      <c r="C11" s="62"/>
      <c r="D11" s="62"/>
      <c r="E11" s="62"/>
      <c r="F11" s="62"/>
      <c r="G11" s="62"/>
    </row>
    <row r="12" spans="1:7">
      <c r="A12" s="47" t="s">
        <v>42</v>
      </c>
      <c r="B12" s="62"/>
      <c r="C12" s="62"/>
      <c r="D12" s="62"/>
      <c r="E12" s="62"/>
      <c r="F12" s="62"/>
      <c r="G12" s="62"/>
    </row>
    <row r="13" spans="1:7">
      <c r="A13" s="62"/>
      <c r="B13" s="62"/>
      <c r="C13" s="62"/>
      <c r="D13" s="62"/>
      <c r="E13" s="62"/>
      <c r="F13" s="62"/>
      <c r="G13" s="62"/>
    </row>
    <row r="14" spans="1:7">
      <c r="A14" s="41" t="s">
        <v>1</v>
      </c>
      <c r="B14" s="42" t="s">
        <v>8</v>
      </c>
      <c r="C14" s="42" t="s">
        <v>2</v>
      </c>
      <c r="D14" s="42" t="s">
        <v>3</v>
      </c>
      <c r="E14" s="42" t="s">
        <v>4</v>
      </c>
      <c r="F14" s="42" t="s">
        <v>5</v>
      </c>
      <c r="G14" s="42" t="s">
        <v>6</v>
      </c>
    </row>
    <row r="15" spans="1:7" ht="14.25" customHeight="1">
      <c r="A15" s="37" t="s">
        <v>43</v>
      </c>
      <c r="B15" s="88">
        <v>0.2</v>
      </c>
      <c r="C15" s="89">
        <f>10*12</f>
        <v>120</v>
      </c>
      <c r="D15" s="89">
        <f>C15*(1+$B15)</f>
        <v>144</v>
      </c>
      <c r="E15" s="89">
        <f t="shared" ref="E15:G15" si="0">D15*(1+$B15)</f>
        <v>172.79999999999998</v>
      </c>
      <c r="F15" s="89">
        <f t="shared" si="0"/>
        <v>207.35999999999999</v>
      </c>
      <c r="G15" s="89">
        <f t="shared" si="0"/>
        <v>248.83199999999997</v>
      </c>
    </row>
    <row r="16" spans="1:7" ht="14.25" customHeight="1">
      <c r="A16" s="39" t="s">
        <v>44</v>
      </c>
      <c r="B16" s="88">
        <v>0.1</v>
      </c>
      <c r="C16" s="90">
        <f>0.3*12</f>
        <v>3.5999999999999996</v>
      </c>
      <c r="D16" s="90">
        <f t="shared" ref="D16:G29" si="1">C16*(1+$B16)</f>
        <v>3.96</v>
      </c>
      <c r="E16" s="90">
        <f t="shared" si="1"/>
        <v>4.3559999999999999</v>
      </c>
      <c r="F16" s="90">
        <f t="shared" si="1"/>
        <v>4.7915999999999999</v>
      </c>
      <c r="G16" s="90">
        <f t="shared" si="1"/>
        <v>5.2707600000000001</v>
      </c>
    </row>
    <row r="17" spans="1:7">
      <c r="A17" s="37" t="s">
        <v>45</v>
      </c>
      <c r="B17" s="88">
        <v>0.4</v>
      </c>
      <c r="C17" s="89">
        <f>1*12</f>
        <v>12</v>
      </c>
      <c r="D17" s="89">
        <f t="shared" si="1"/>
        <v>16.799999999999997</v>
      </c>
      <c r="E17" s="89">
        <f t="shared" si="1"/>
        <v>23.519999999999996</v>
      </c>
      <c r="F17" s="89">
        <f t="shared" si="1"/>
        <v>32.92799999999999</v>
      </c>
      <c r="G17" s="89">
        <f t="shared" si="1"/>
        <v>46.099199999999982</v>
      </c>
    </row>
    <row r="18" spans="1:7">
      <c r="A18" s="39" t="s">
        <v>46</v>
      </c>
      <c r="B18" s="88">
        <v>0.2</v>
      </c>
      <c r="C18" s="90">
        <f>0.5*12</f>
        <v>6</v>
      </c>
      <c r="D18" s="90">
        <f t="shared" si="1"/>
        <v>7.1999999999999993</v>
      </c>
      <c r="E18" s="90">
        <f t="shared" si="1"/>
        <v>8.6399999999999988</v>
      </c>
      <c r="F18" s="90">
        <f t="shared" si="1"/>
        <v>10.367999999999999</v>
      </c>
      <c r="G18" s="90">
        <f t="shared" si="1"/>
        <v>12.441599999999998</v>
      </c>
    </row>
    <row r="19" spans="1:7">
      <c r="A19" s="37" t="s">
        <v>112</v>
      </c>
      <c r="B19" s="88">
        <v>0.4</v>
      </c>
      <c r="C19" s="89">
        <f>0.2*12</f>
        <v>2.4000000000000004</v>
      </c>
      <c r="D19" s="89">
        <f t="shared" si="1"/>
        <v>3.3600000000000003</v>
      </c>
      <c r="E19" s="89">
        <f t="shared" si="1"/>
        <v>4.7039999999999997</v>
      </c>
      <c r="F19" s="89">
        <f t="shared" si="1"/>
        <v>6.5855999999999995</v>
      </c>
      <c r="G19" s="89">
        <f t="shared" si="1"/>
        <v>9.2198399999999978</v>
      </c>
    </row>
    <row r="20" spans="1:7">
      <c r="A20" s="39" t="s">
        <v>47</v>
      </c>
      <c r="B20" s="88">
        <v>0.4</v>
      </c>
      <c r="C20" s="90">
        <f>0.5*12</f>
        <v>6</v>
      </c>
      <c r="D20" s="90">
        <f t="shared" si="1"/>
        <v>8.3999999999999986</v>
      </c>
      <c r="E20" s="90">
        <f t="shared" si="1"/>
        <v>11.759999999999998</v>
      </c>
      <c r="F20" s="90">
        <f t="shared" si="1"/>
        <v>16.463999999999995</v>
      </c>
      <c r="G20" s="90">
        <f t="shared" si="1"/>
        <v>23.049599999999991</v>
      </c>
    </row>
    <row r="21" spans="1:7">
      <c r="A21" s="37" t="s">
        <v>86</v>
      </c>
      <c r="B21" s="88" t="s">
        <v>87</v>
      </c>
      <c r="C21" s="89">
        <f>ROUND('Staff costs'!B18/7,0)*1.6*12</f>
        <v>76.800000000000011</v>
      </c>
      <c r="D21" s="89">
        <f>ROUND('Staff costs'!C18/7,0)*1.6*12</f>
        <v>96</v>
      </c>
      <c r="E21" s="89">
        <f>ROUND('Staff costs'!D18/7,0)*1.6*12</f>
        <v>115.20000000000002</v>
      </c>
      <c r="F21" s="89">
        <f>ROUND('Staff costs'!E18/7,0)*1.6*12</f>
        <v>153.60000000000002</v>
      </c>
      <c r="G21" s="89">
        <f>ROUND('Staff costs'!F18/7,0)*1.6*12</f>
        <v>211.20000000000002</v>
      </c>
    </row>
    <row r="22" spans="1:7">
      <c r="A22" s="39" t="s">
        <v>48</v>
      </c>
      <c r="B22" s="88" t="s">
        <v>88</v>
      </c>
      <c r="C22" s="90">
        <f>(Revenue!B120+Revenue!B106)*8%</f>
        <v>3.8159999999999998</v>
      </c>
      <c r="D22" s="90">
        <f>(Revenue!C120+Revenue!C106)*8%</f>
        <v>9.5004000000000008</v>
      </c>
      <c r="E22" s="90">
        <f>(Revenue!D120+Revenue!D106)*8%</f>
        <v>18.416160000000001</v>
      </c>
      <c r="F22" s="90">
        <f>(Revenue!E120+Revenue!E106)*8%</f>
        <v>33.39516600000001</v>
      </c>
      <c r="G22" s="90">
        <f>(Revenue!F120+Revenue!F106)*8%</f>
        <v>60.065456850000018</v>
      </c>
    </row>
    <row r="23" spans="1:7">
      <c r="A23" s="37" t="s">
        <v>49</v>
      </c>
      <c r="B23" s="88">
        <v>0.1</v>
      </c>
      <c r="C23" s="89">
        <f>0.5*12</f>
        <v>6</v>
      </c>
      <c r="D23" s="89">
        <f t="shared" ref="D23:G23" si="2">0.4*12/3</f>
        <v>1.6000000000000003</v>
      </c>
      <c r="E23" s="89">
        <f t="shared" si="2"/>
        <v>1.6000000000000003</v>
      </c>
      <c r="F23" s="89">
        <f t="shared" si="2"/>
        <v>1.6000000000000003</v>
      </c>
      <c r="G23" s="89">
        <f t="shared" si="2"/>
        <v>1.6000000000000003</v>
      </c>
    </row>
    <row r="24" spans="1:7">
      <c r="A24" s="39" t="s">
        <v>50</v>
      </c>
      <c r="B24" s="88">
        <v>0.1</v>
      </c>
      <c r="C24" s="90">
        <f>5</f>
        <v>5</v>
      </c>
      <c r="D24" s="90">
        <f t="shared" si="1"/>
        <v>5.5</v>
      </c>
      <c r="E24" s="90">
        <f t="shared" si="1"/>
        <v>6.0500000000000007</v>
      </c>
      <c r="F24" s="90">
        <f t="shared" si="1"/>
        <v>6.6550000000000011</v>
      </c>
      <c r="G24" s="90">
        <f t="shared" si="1"/>
        <v>7.3205000000000018</v>
      </c>
    </row>
    <row r="25" spans="1:7">
      <c r="A25" s="37" t="s">
        <v>51</v>
      </c>
      <c r="B25" s="88">
        <v>0.2</v>
      </c>
      <c r="C25" s="89">
        <f>5</f>
        <v>5</v>
      </c>
      <c r="D25" s="89">
        <f t="shared" si="1"/>
        <v>6</v>
      </c>
      <c r="E25" s="89">
        <f t="shared" si="1"/>
        <v>7.1999999999999993</v>
      </c>
      <c r="F25" s="89">
        <f t="shared" si="1"/>
        <v>8.6399999999999988</v>
      </c>
      <c r="G25" s="89">
        <f t="shared" si="1"/>
        <v>10.367999999999999</v>
      </c>
    </row>
    <row r="26" spans="1:7">
      <c r="A26" s="39" t="s">
        <v>52</v>
      </c>
      <c r="B26" s="88">
        <v>0.2</v>
      </c>
      <c r="C26" s="90">
        <f>5</f>
        <v>5</v>
      </c>
      <c r="D26" s="90">
        <f t="shared" si="1"/>
        <v>6</v>
      </c>
      <c r="E26" s="90">
        <f t="shared" si="1"/>
        <v>7.1999999999999993</v>
      </c>
      <c r="F26" s="90">
        <f t="shared" si="1"/>
        <v>8.6399999999999988</v>
      </c>
      <c r="G26" s="90">
        <f t="shared" si="1"/>
        <v>10.367999999999999</v>
      </c>
    </row>
    <row r="27" spans="1:7">
      <c r="A27" s="37" t="s">
        <v>53</v>
      </c>
      <c r="B27" s="88">
        <v>0.2</v>
      </c>
      <c r="C27" s="89">
        <f>30</f>
        <v>30</v>
      </c>
      <c r="D27" s="89">
        <f t="shared" si="1"/>
        <v>36</v>
      </c>
      <c r="E27" s="89">
        <f t="shared" si="1"/>
        <v>43.199999999999996</v>
      </c>
      <c r="F27" s="89">
        <f t="shared" si="1"/>
        <v>51.839999999999996</v>
      </c>
      <c r="G27" s="89">
        <f t="shared" si="1"/>
        <v>62.207999999999991</v>
      </c>
    </row>
    <row r="28" spans="1:7">
      <c r="A28" s="39" t="s">
        <v>54</v>
      </c>
      <c r="B28" s="88">
        <v>0.4</v>
      </c>
      <c r="C28" s="90">
        <f>12*10</f>
        <v>120</v>
      </c>
      <c r="D28" s="90">
        <f t="shared" si="1"/>
        <v>168</v>
      </c>
      <c r="E28" s="90">
        <f t="shared" si="1"/>
        <v>235.2</v>
      </c>
      <c r="F28" s="90">
        <f t="shared" si="1"/>
        <v>329.28</v>
      </c>
      <c r="G28" s="90">
        <f t="shared" si="1"/>
        <v>460.9919999999999</v>
      </c>
    </row>
    <row r="29" spans="1:7">
      <c r="A29" s="37" t="s">
        <v>55</v>
      </c>
      <c r="B29" s="88">
        <v>0.2</v>
      </c>
      <c r="C29" s="89">
        <f>12</f>
        <v>12</v>
      </c>
      <c r="D29" s="89">
        <f t="shared" si="1"/>
        <v>14.399999999999999</v>
      </c>
      <c r="E29" s="89">
        <f t="shared" si="1"/>
        <v>17.279999999999998</v>
      </c>
      <c r="F29" s="89">
        <f t="shared" si="1"/>
        <v>20.735999999999997</v>
      </c>
      <c r="G29" s="89">
        <f t="shared" si="1"/>
        <v>24.883199999999995</v>
      </c>
    </row>
    <row r="30" spans="1:7">
      <c r="A30" s="103" t="s">
        <v>42</v>
      </c>
      <c r="B30" s="103"/>
      <c r="C30" s="91">
        <f>ROUND(SUM(C15:C29),0)</f>
        <v>414</v>
      </c>
      <c r="D30" s="91">
        <f>ROUND(SUM(D15:D29),0)</f>
        <v>527</v>
      </c>
      <c r="E30" s="91">
        <f>ROUND(SUM(E15:E29),0)</f>
        <v>677</v>
      </c>
      <c r="F30" s="91">
        <f>ROUND(SUM(F15:F29),0)</f>
        <v>893</v>
      </c>
      <c r="G30" s="91">
        <f>ROUND(SUM(G15:G29),0)</f>
        <v>1194</v>
      </c>
    </row>
    <row r="31" spans="1:7">
      <c r="C31" s="25"/>
      <c r="D31" s="25"/>
      <c r="E31" s="25"/>
      <c r="F31" s="25"/>
      <c r="G31" s="25"/>
    </row>
  </sheetData>
  <mergeCells count="1">
    <mergeCell ref="A30:B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20D0A-7301-B049-9136-1913772DAE15}">
  <dimension ref="A2:F10"/>
  <sheetViews>
    <sheetView zoomScale="120" zoomScaleNormal="120" workbookViewId="0">
      <selection activeCell="B5" sqref="B5"/>
    </sheetView>
  </sheetViews>
  <sheetFormatPr baseColWidth="10" defaultColWidth="11.42578125" defaultRowHeight="14.25"/>
  <cols>
    <col min="1" max="1" width="28.7109375" style="26" bestFit="1" customWidth="1"/>
    <col min="2" max="16384" width="11.42578125" style="26"/>
  </cols>
  <sheetData>
    <row r="2" spans="1:6">
      <c r="A2" s="56" t="s">
        <v>109</v>
      </c>
      <c r="B2" s="57"/>
      <c r="C2" s="57"/>
      <c r="D2" s="57"/>
      <c r="E2" s="57"/>
      <c r="F2" s="57"/>
    </row>
    <row r="3" spans="1:6">
      <c r="A3" s="57"/>
      <c r="B3" s="57"/>
      <c r="C3" s="57"/>
      <c r="D3" s="57"/>
      <c r="E3" s="57"/>
      <c r="F3" s="57"/>
    </row>
    <row r="4" spans="1:6">
      <c r="A4" s="41" t="s">
        <v>66</v>
      </c>
      <c r="B4" s="42" t="s">
        <v>2</v>
      </c>
      <c r="C4" s="42" t="s">
        <v>3</v>
      </c>
      <c r="D4" s="42" t="s">
        <v>4</v>
      </c>
      <c r="E4" s="42" t="s">
        <v>5</v>
      </c>
      <c r="F4" s="42" t="s">
        <v>6</v>
      </c>
    </row>
    <row r="5" spans="1:6">
      <c r="A5" s="92" t="s">
        <v>108</v>
      </c>
      <c r="B5" s="73">
        <f>3*'Staff costs'!B18/3</f>
        <v>28</v>
      </c>
      <c r="C5" s="73">
        <f>3*('Staff costs'!C18-'Staff costs'!B18)/3</f>
        <v>6</v>
      </c>
      <c r="D5" s="73">
        <f>3*('Staff costs'!D18-'Staff costs'!C18)/3</f>
        <v>8</v>
      </c>
      <c r="E5" s="73">
        <f>3*'Staff costs'!E18/3</f>
        <v>54</v>
      </c>
      <c r="F5" s="73">
        <f>3*('Staff costs'!F18-'Staff costs'!E18)/3</f>
        <v>23</v>
      </c>
    </row>
    <row r="6" spans="1:6">
      <c r="A6" s="60" t="s">
        <v>111</v>
      </c>
      <c r="B6" s="75">
        <f>1.5*'Staff costs'!B18/3</f>
        <v>14</v>
      </c>
      <c r="C6" s="75">
        <f>1.5*('Staff costs'!C18-'Staff costs'!B18)/3</f>
        <v>3</v>
      </c>
      <c r="D6" s="75">
        <f>1.5*('Staff costs'!D18-'Staff costs'!C18)/3</f>
        <v>4</v>
      </c>
      <c r="E6" s="75">
        <f>1.5*'Staff costs'!E18/3</f>
        <v>27</v>
      </c>
      <c r="F6" s="75">
        <f>1.5*('Staff costs'!F18-'Staff costs'!E18)/3</f>
        <v>11.5</v>
      </c>
    </row>
    <row r="7" spans="1:6">
      <c r="A7" s="92" t="s">
        <v>114</v>
      </c>
      <c r="B7" s="73">
        <f>60/3</f>
        <v>20</v>
      </c>
      <c r="C7" s="73">
        <v>0</v>
      </c>
      <c r="D7" s="73">
        <v>0</v>
      </c>
      <c r="E7" s="73">
        <v>0</v>
      </c>
      <c r="F7" s="73">
        <v>0</v>
      </c>
    </row>
    <row r="8" spans="1:6">
      <c r="A8" s="92" t="s">
        <v>143</v>
      </c>
      <c r="B8" s="73">
        <v>200</v>
      </c>
      <c r="C8" s="73"/>
      <c r="D8" s="73"/>
      <c r="E8" s="73"/>
      <c r="F8" s="73"/>
    </row>
    <row r="9" spans="1:6">
      <c r="A9" s="60" t="s">
        <v>113</v>
      </c>
      <c r="B9" s="93">
        <f>60/3</f>
        <v>20</v>
      </c>
      <c r="C9" s="93"/>
      <c r="D9" s="93"/>
      <c r="E9" s="93"/>
      <c r="F9" s="93"/>
    </row>
    <row r="10" spans="1:6">
      <c r="A10" s="61" t="s">
        <v>109</v>
      </c>
      <c r="B10" s="54">
        <f>ROUND(SUM(B5:B9),0)</f>
        <v>282</v>
      </c>
      <c r="C10" s="54">
        <f>ROUND(SUM(C5:C9),0)</f>
        <v>9</v>
      </c>
      <c r="D10" s="54">
        <f>ROUND(SUM(D5:D9),0)</f>
        <v>12</v>
      </c>
      <c r="E10" s="54">
        <f>ROUND(SUM(E5:E9),0)</f>
        <v>81</v>
      </c>
      <c r="F10" s="54">
        <f>ROUND(SUM(F5:F9),0)</f>
        <v>35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768A-F925-994C-A22D-2B215FC88464}">
  <dimension ref="A2:H18"/>
  <sheetViews>
    <sheetView zoomScale="145" zoomScaleNormal="145" workbookViewId="0">
      <selection activeCell="D5" sqref="D5:H5"/>
    </sheetView>
  </sheetViews>
  <sheetFormatPr baseColWidth="10" defaultColWidth="11.42578125" defaultRowHeight="15"/>
  <cols>
    <col min="1" max="1" width="18.7109375" bestFit="1" customWidth="1"/>
    <col min="2" max="2" width="10.42578125" bestFit="1" customWidth="1"/>
  </cols>
  <sheetData>
    <row r="2" spans="1:8">
      <c r="A2" s="26"/>
      <c r="B2" s="26"/>
      <c r="C2" s="26"/>
      <c r="D2" s="26"/>
      <c r="E2" s="26"/>
      <c r="F2" s="26"/>
      <c r="G2" s="26"/>
      <c r="H2" s="26"/>
    </row>
    <row r="3" spans="1:8">
      <c r="A3" s="56" t="s">
        <v>118</v>
      </c>
      <c r="B3" s="62"/>
      <c r="C3" s="62"/>
      <c r="D3" s="62"/>
      <c r="E3" s="62"/>
      <c r="F3" s="62"/>
      <c r="G3" s="62"/>
      <c r="H3" s="62"/>
    </row>
    <row r="4" spans="1:8">
      <c r="A4" s="62"/>
      <c r="B4" s="62"/>
      <c r="C4" s="94"/>
      <c r="D4" s="62"/>
      <c r="E4" s="62"/>
      <c r="F4" s="62"/>
      <c r="G4" s="62"/>
      <c r="H4" s="62"/>
    </row>
    <row r="5" spans="1:8">
      <c r="A5" s="41" t="s">
        <v>66</v>
      </c>
      <c r="B5" s="42" t="s">
        <v>115</v>
      </c>
      <c r="C5" s="42" t="s">
        <v>116</v>
      </c>
      <c r="D5" s="42" t="str">
        <f>+CAPEX!B4</f>
        <v>Y1</v>
      </c>
      <c r="E5" s="42" t="str">
        <f>+CAPEX!C4</f>
        <v>Y2</v>
      </c>
      <c r="F5" s="42" t="str">
        <f>+CAPEX!D4</f>
        <v>Y3</v>
      </c>
      <c r="G5" s="42" t="str">
        <f>+CAPEX!E4</f>
        <v>Y4</v>
      </c>
      <c r="H5" s="42" t="str">
        <f>+CAPEX!F4</f>
        <v>Y5</v>
      </c>
    </row>
    <row r="6" spans="1:8">
      <c r="A6" s="37" t="s">
        <v>119</v>
      </c>
      <c r="B6" s="95">
        <v>0.33</v>
      </c>
      <c r="C6" s="96">
        <f>CAPEX!B5</f>
        <v>28</v>
      </c>
      <c r="D6" s="73">
        <f>$C6*$B6</f>
        <v>9.24</v>
      </c>
      <c r="E6" s="73">
        <f t="shared" ref="D6:H17" si="0">$C6*$B6</f>
        <v>9.24</v>
      </c>
      <c r="F6" s="73">
        <f t="shared" si="0"/>
        <v>9.24</v>
      </c>
      <c r="G6" s="73">
        <v>0</v>
      </c>
      <c r="H6" s="73">
        <v>0</v>
      </c>
    </row>
    <row r="7" spans="1:8">
      <c r="A7" s="39" t="s">
        <v>120</v>
      </c>
      <c r="B7" s="97">
        <v>0.33</v>
      </c>
      <c r="C7" s="98">
        <f>CAPEX!C5</f>
        <v>6</v>
      </c>
      <c r="D7" s="75">
        <v>0</v>
      </c>
      <c r="E7" s="75">
        <f t="shared" si="0"/>
        <v>1.98</v>
      </c>
      <c r="F7" s="75">
        <f t="shared" si="0"/>
        <v>1.98</v>
      </c>
      <c r="G7" s="75">
        <f t="shared" si="0"/>
        <v>1.98</v>
      </c>
      <c r="H7" s="75">
        <v>0</v>
      </c>
    </row>
    <row r="8" spans="1:8">
      <c r="A8" s="37" t="s">
        <v>121</v>
      </c>
      <c r="B8" s="95">
        <v>0.33</v>
      </c>
      <c r="C8" s="96">
        <f>CAPEX!D5</f>
        <v>8</v>
      </c>
      <c r="D8" s="73">
        <v>0</v>
      </c>
      <c r="E8" s="73">
        <v>0</v>
      </c>
      <c r="F8" s="73">
        <f t="shared" si="0"/>
        <v>2.64</v>
      </c>
      <c r="G8" s="73">
        <f t="shared" si="0"/>
        <v>2.64</v>
      </c>
      <c r="H8" s="73">
        <f t="shared" si="0"/>
        <v>2.64</v>
      </c>
    </row>
    <row r="9" spans="1:8">
      <c r="A9" s="39" t="s">
        <v>122</v>
      </c>
      <c r="B9" s="97">
        <v>0.33</v>
      </c>
      <c r="C9" s="98">
        <f>CAPEX!E5</f>
        <v>54</v>
      </c>
      <c r="D9" s="75">
        <v>0</v>
      </c>
      <c r="E9" s="75">
        <v>0</v>
      </c>
      <c r="F9" s="75">
        <v>0</v>
      </c>
      <c r="G9" s="75">
        <f>$C9*$B9</f>
        <v>17.82</v>
      </c>
      <c r="H9" s="75">
        <f t="shared" si="0"/>
        <v>17.82</v>
      </c>
    </row>
    <row r="10" spans="1:8">
      <c r="A10" s="37" t="s">
        <v>123</v>
      </c>
      <c r="B10" s="95">
        <v>0.33</v>
      </c>
      <c r="C10" s="96">
        <f>CAPEX!F5</f>
        <v>23</v>
      </c>
      <c r="D10" s="73">
        <v>0</v>
      </c>
      <c r="E10" s="73">
        <v>0</v>
      </c>
      <c r="F10" s="73">
        <v>0</v>
      </c>
      <c r="G10" s="73">
        <v>0</v>
      </c>
      <c r="H10" s="73">
        <f t="shared" si="0"/>
        <v>7.5900000000000007</v>
      </c>
    </row>
    <row r="11" spans="1:8">
      <c r="A11" s="39" t="s">
        <v>124</v>
      </c>
      <c r="B11" s="97">
        <v>0.33</v>
      </c>
      <c r="C11" s="98">
        <f>CAPEX!B6</f>
        <v>14</v>
      </c>
      <c r="D11" s="75">
        <f>$C11*$B11</f>
        <v>4.62</v>
      </c>
      <c r="E11" s="75">
        <f t="shared" si="0"/>
        <v>4.62</v>
      </c>
      <c r="F11" s="75">
        <f t="shared" si="0"/>
        <v>4.62</v>
      </c>
      <c r="G11" s="75">
        <v>0</v>
      </c>
      <c r="H11" s="75">
        <v>0</v>
      </c>
    </row>
    <row r="12" spans="1:8">
      <c r="A12" s="37" t="s">
        <v>125</v>
      </c>
      <c r="B12" s="95">
        <v>0.33</v>
      </c>
      <c r="C12" s="96">
        <f>CAPEX!C6</f>
        <v>3</v>
      </c>
      <c r="D12" s="73">
        <v>0</v>
      </c>
      <c r="E12" s="73">
        <f t="shared" si="0"/>
        <v>0.99</v>
      </c>
      <c r="F12" s="73">
        <f t="shared" si="0"/>
        <v>0.99</v>
      </c>
      <c r="G12" s="73">
        <f t="shared" si="0"/>
        <v>0.99</v>
      </c>
      <c r="H12" s="73">
        <v>0</v>
      </c>
    </row>
    <row r="13" spans="1:8">
      <c r="A13" s="39" t="s">
        <v>126</v>
      </c>
      <c r="B13" s="97">
        <v>0.33</v>
      </c>
      <c r="C13" s="98">
        <f>CAPEX!D6</f>
        <v>4</v>
      </c>
      <c r="D13" s="75">
        <v>0</v>
      </c>
      <c r="E13" s="75">
        <v>0</v>
      </c>
      <c r="F13" s="75">
        <f t="shared" si="0"/>
        <v>1.32</v>
      </c>
      <c r="G13" s="75">
        <f t="shared" si="0"/>
        <v>1.32</v>
      </c>
      <c r="H13" s="75">
        <f t="shared" si="0"/>
        <v>1.32</v>
      </c>
    </row>
    <row r="14" spans="1:8">
      <c r="A14" s="37" t="s">
        <v>127</v>
      </c>
      <c r="B14" s="95">
        <v>0.33</v>
      </c>
      <c r="C14" s="96">
        <f>CAPEX!E6</f>
        <v>27</v>
      </c>
      <c r="D14" s="73">
        <v>0</v>
      </c>
      <c r="E14" s="73">
        <v>0</v>
      </c>
      <c r="F14" s="73">
        <v>0</v>
      </c>
      <c r="G14" s="73">
        <f t="shared" si="0"/>
        <v>8.91</v>
      </c>
      <c r="H14" s="73">
        <f t="shared" si="0"/>
        <v>8.91</v>
      </c>
    </row>
    <row r="15" spans="1:8">
      <c r="A15" s="39" t="s">
        <v>126</v>
      </c>
      <c r="B15" s="97">
        <v>0.33</v>
      </c>
      <c r="C15" s="98">
        <f>CAPEX!F6</f>
        <v>11.5</v>
      </c>
      <c r="D15" s="75">
        <v>0</v>
      </c>
      <c r="E15" s="75">
        <v>0</v>
      </c>
      <c r="F15" s="75">
        <v>0</v>
      </c>
      <c r="G15" s="75">
        <v>0</v>
      </c>
      <c r="H15" s="75">
        <f t="shared" si="0"/>
        <v>3.7950000000000004</v>
      </c>
    </row>
    <row r="16" spans="1:8">
      <c r="A16" s="37" t="str">
        <f>CAPEX!A7</f>
        <v>Website refactoring and marketing material</v>
      </c>
      <c r="B16" s="95">
        <v>0.33</v>
      </c>
      <c r="C16" s="96">
        <f>CAPEX!B7</f>
        <v>20</v>
      </c>
      <c r="D16" s="73">
        <f t="shared" si="0"/>
        <v>6.6000000000000005</v>
      </c>
      <c r="E16" s="73">
        <f t="shared" si="0"/>
        <v>6.6000000000000005</v>
      </c>
      <c r="F16" s="73">
        <f t="shared" si="0"/>
        <v>6.6000000000000005</v>
      </c>
      <c r="G16" s="73">
        <v>0</v>
      </c>
      <c r="H16" s="73">
        <v>0</v>
      </c>
    </row>
    <row r="17" spans="1:8">
      <c r="A17" s="39" t="str">
        <f>CAPEX!A9</f>
        <v>UX/UI redesign</v>
      </c>
      <c r="B17" s="97">
        <v>0.33</v>
      </c>
      <c r="C17" s="98">
        <f>CAPEX!B9</f>
        <v>20</v>
      </c>
      <c r="D17" s="75">
        <f>$C17*$B17</f>
        <v>6.6000000000000005</v>
      </c>
      <c r="E17" s="75">
        <f t="shared" si="0"/>
        <v>6.6000000000000005</v>
      </c>
      <c r="F17" s="75">
        <f t="shared" si="0"/>
        <v>6.6000000000000005</v>
      </c>
      <c r="G17" s="75">
        <v>0</v>
      </c>
      <c r="H17" s="75">
        <v>0</v>
      </c>
    </row>
    <row r="18" spans="1:8">
      <c r="A18" s="103" t="s">
        <v>117</v>
      </c>
      <c r="B18" s="103"/>
      <c r="C18" s="53"/>
      <c r="D18" s="54">
        <f>ROUND(SUM(D6:D17),0)</f>
        <v>27</v>
      </c>
      <c r="E18" s="54">
        <f>ROUND(SUM(E6:E17),0)</f>
        <v>30</v>
      </c>
      <c r="F18" s="54">
        <f>ROUND(SUM(F6:F17),0)</f>
        <v>34</v>
      </c>
      <c r="G18" s="54">
        <f>ROUND(SUM(G6:G17),0)</f>
        <v>34</v>
      </c>
      <c r="H18" s="54">
        <f>ROUND(SUM(H6:H17),0)</f>
        <v>42</v>
      </c>
    </row>
  </sheetData>
  <mergeCells count="1">
    <mergeCell ref="A18:B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DD73D-9C04-C948-B014-AB76E671A114}">
  <dimension ref="A1:F23"/>
  <sheetViews>
    <sheetView tabSelected="1" zoomScale="145" zoomScaleNormal="145" workbookViewId="0">
      <selection activeCell="B23" sqref="B23"/>
    </sheetView>
  </sheetViews>
  <sheetFormatPr baseColWidth="10" defaultColWidth="11.42578125" defaultRowHeight="15"/>
  <cols>
    <col min="1" max="1" width="21.7109375" customWidth="1"/>
  </cols>
  <sheetData>
    <row r="1" spans="1:6">
      <c r="A1" s="26"/>
      <c r="B1" s="26"/>
      <c r="C1" s="26"/>
      <c r="D1" s="26"/>
      <c r="E1" s="26"/>
      <c r="F1" s="26"/>
    </row>
    <row r="2" spans="1:6">
      <c r="A2" s="56" t="s">
        <v>89</v>
      </c>
      <c r="B2" s="62"/>
      <c r="C2" s="62"/>
      <c r="D2" s="62"/>
      <c r="E2" s="62"/>
      <c r="F2" s="62"/>
    </row>
    <row r="3" spans="1:6">
      <c r="A3" s="62"/>
      <c r="B3" s="62"/>
      <c r="C3" s="62"/>
      <c r="D3" s="62"/>
      <c r="E3" s="62"/>
      <c r="F3" s="62"/>
    </row>
    <row r="4" spans="1:6">
      <c r="A4" s="41" t="s">
        <v>66</v>
      </c>
      <c r="B4" s="42" t="s">
        <v>2</v>
      </c>
      <c r="C4" s="42" t="s">
        <v>3</v>
      </c>
      <c r="D4" s="42" t="s">
        <v>4</v>
      </c>
      <c r="E4" s="42" t="s">
        <v>5</v>
      </c>
      <c r="F4" s="42" t="s">
        <v>6</v>
      </c>
    </row>
    <row r="5" spans="1:6">
      <c r="A5" s="58" t="s">
        <v>105</v>
      </c>
      <c r="B5" s="63">
        <f>Revenue!B115</f>
        <v>1423.2</v>
      </c>
      <c r="C5" s="63">
        <f>Revenue!C115</f>
        <v>1918.98</v>
      </c>
      <c r="D5" s="63">
        <f>Revenue!D115</f>
        <v>2784.1432499999996</v>
      </c>
      <c r="E5" s="63">
        <f>Revenue!E115</f>
        <v>4293.7882312500005</v>
      </c>
      <c r="F5" s="63">
        <f>Revenue!F115</f>
        <v>6943.3241324999999</v>
      </c>
    </row>
    <row r="6" spans="1:6">
      <c r="A6" s="58" t="s">
        <v>106</v>
      </c>
      <c r="B6" s="63">
        <f>Revenue!B130</f>
        <v>115.5</v>
      </c>
      <c r="C6" s="63">
        <f>Revenue!C130</f>
        <v>149.625</v>
      </c>
      <c r="D6" s="63">
        <f>Revenue!D130</f>
        <v>261.29250000000002</v>
      </c>
      <c r="E6" s="63">
        <f>Revenue!E130</f>
        <v>392.43487500000003</v>
      </c>
      <c r="F6" s="63">
        <f>Revenue!F130</f>
        <v>763.9456781250002</v>
      </c>
    </row>
    <row r="7" spans="1:6">
      <c r="A7" s="64" t="s">
        <v>90</v>
      </c>
      <c r="B7" s="65">
        <f>SUM(B5:B6)</f>
        <v>1538.7</v>
      </c>
      <c r="C7" s="65">
        <f>SUM(C5:C6)</f>
        <v>2068.605</v>
      </c>
      <c r="D7" s="65">
        <f>SUM(D5:D6)</f>
        <v>3045.4357499999996</v>
      </c>
      <c r="E7" s="65">
        <f>SUM(E5:E6)</f>
        <v>4686.2231062500005</v>
      </c>
      <c r="F7" s="65">
        <f>SUM(F5:F6)</f>
        <v>7707.269810625</v>
      </c>
    </row>
    <row r="8" spans="1:6">
      <c r="A8" s="39" t="s">
        <v>91</v>
      </c>
      <c r="B8" s="44">
        <f>OPEX!B10</f>
        <v>15.75</v>
      </c>
      <c r="C8" s="44">
        <f>OPEX!C10</f>
        <v>18.899999999999999</v>
      </c>
      <c r="D8" s="44">
        <f>OPEX!D10</f>
        <v>32.248125000000002</v>
      </c>
      <c r="E8" s="44">
        <f>OPEX!E10</f>
        <v>46.883812500000005</v>
      </c>
      <c r="F8" s="44">
        <f>OPEX!F10</f>
        <v>92.986228125000025</v>
      </c>
    </row>
    <row r="9" spans="1:6">
      <c r="A9" s="47" t="s">
        <v>92</v>
      </c>
      <c r="B9" s="48">
        <f>B7-B8</f>
        <v>1522.95</v>
      </c>
      <c r="C9" s="48">
        <f t="shared" ref="C9:F9" si="0">C7-C8</f>
        <v>2049.7049999999999</v>
      </c>
      <c r="D9" s="48">
        <f t="shared" si="0"/>
        <v>3013.1876249999996</v>
      </c>
      <c r="E9" s="48">
        <f t="shared" si="0"/>
        <v>4639.3392937500003</v>
      </c>
      <c r="F9" s="48">
        <f t="shared" si="0"/>
        <v>7614.2835825000002</v>
      </c>
    </row>
    <row r="10" spans="1:6">
      <c r="A10" s="27" t="s">
        <v>93</v>
      </c>
      <c r="B10" s="28">
        <f>B9/B7</f>
        <v>0.98976408656658221</v>
      </c>
      <c r="C10" s="28">
        <f t="shared" ref="C10:F10" si="1">C9/C7</f>
        <v>0.9908634079488351</v>
      </c>
      <c r="D10" s="28">
        <f t="shared" si="1"/>
        <v>0.98941099808130906</v>
      </c>
      <c r="E10" s="28">
        <f t="shared" si="1"/>
        <v>0.98999539470549935</v>
      </c>
      <c r="F10" s="28">
        <f t="shared" si="1"/>
        <v>0.98793525717799424</v>
      </c>
    </row>
    <row r="11" spans="1:6">
      <c r="A11" s="39" t="s">
        <v>94</v>
      </c>
      <c r="B11" s="44">
        <f>'Staff costs'!B55</f>
        <v>644.88666666666677</v>
      </c>
      <c r="C11" s="44">
        <f>'Staff costs'!C55</f>
        <v>819.48533333333341</v>
      </c>
      <c r="D11" s="44">
        <f>'Staff costs'!D55</f>
        <v>1084.9505333333334</v>
      </c>
      <c r="E11" s="44">
        <f>'Staff costs'!E55</f>
        <v>1472.0238866666673</v>
      </c>
      <c r="F11" s="44">
        <f>'Staff costs'!F55</f>
        <v>2183.2463986666671</v>
      </c>
    </row>
    <row r="12" spans="1:6">
      <c r="A12" s="39" t="s">
        <v>42</v>
      </c>
      <c r="B12" s="44">
        <f>OPEX!C30</f>
        <v>414</v>
      </c>
      <c r="C12" s="44">
        <f>OPEX!D30</f>
        <v>527</v>
      </c>
      <c r="D12" s="44">
        <f>OPEX!E30</f>
        <v>677</v>
      </c>
      <c r="E12" s="44">
        <f>OPEX!F30</f>
        <v>893</v>
      </c>
      <c r="F12" s="44">
        <f>OPEX!G30</f>
        <v>1194</v>
      </c>
    </row>
    <row r="13" spans="1:6">
      <c r="A13" s="47" t="s">
        <v>95</v>
      </c>
      <c r="B13" s="48">
        <f>+B9-SUM(B11:B12)</f>
        <v>464.06333333333328</v>
      </c>
      <c r="C13" s="48">
        <f>+C9-SUM(C11:C12)</f>
        <v>703.2196666666664</v>
      </c>
      <c r="D13" s="48">
        <f>+D9-SUM(D11:D12)</f>
        <v>1251.2370916666662</v>
      </c>
      <c r="E13" s="48">
        <f>+E9-SUM(E11:E12)</f>
        <v>2274.315407083333</v>
      </c>
      <c r="F13" s="48">
        <f>+F9-SUM(F11:F12)</f>
        <v>4237.0371838333331</v>
      </c>
    </row>
    <row r="14" spans="1:6">
      <c r="A14" s="27" t="s">
        <v>96</v>
      </c>
      <c r="B14" s="28">
        <f>B13/B7</f>
        <v>0.30159441953163924</v>
      </c>
      <c r="C14" s="28">
        <f>C13/C7</f>
        <v>0.33994874162378336</v>
      </c>
      <c r="D14" s="28">
        <f>D13/D7</f>
        <v>0.41085650605719276</v>
      </c>
      <c r="E14" s="28">
        <f>E13/E7</f>
        <v>0.48531948981474782</v>
      </c>
      <c r="F14" s="28">
        <f>F13/F7</f>
        <v>0.54974553738760856</v>
      </c>
    </row>
    <row r="15" spans="1:6">
      <c r="A15" s="39" t="s">
        <v>97</v>
      </c>
      <c r="B15" s="66">
        <f>Amortizations!D18</f>
        <v>27</v>
      </c>
      <c r="C15" s="66">
        <f>Amortizations!E18</f>
        <v>30</v>
      </c>
      <c r="D15" s="66">
        <f>Amortizations!F18</f>
        <v>34</v>
      </c>
      <c r="E15" s="66">
        <f>Amortizations!G18</f>
        <v>34</v>
      </c>
      <c r="F15" s="66">
        <f>Amortizations!H18</f>
        <v>42</v>
      </c>
    </row>
    <row r="16" spans="1:6">
      <c r="A16" s="47" t="s">
        <v>98</v>
      </c>
      <c r="B16" s="48">
        <f>B13-B15</f>
        <v>437.06333333333328</v>
      </c>
      <c r="C16" s="48">
        <f t="shared" ref="C16:E16" si="2">C13-C15</f>
        <v>673.2196666666664</v>
      </c>
      <c r="D16" s="48">
        <f t="shared" si="2"/>
        <v>1217.2370916666662</v>
      </c>
      <c r="E16" s="48">
        <f t="shared" si="2"/>
        <v>2240.315407083333</v>
      </c>
      <c r="F16" s="48">
        <f>F13-F15</f>
        <v>4195.0371838333331</v>
      </c>
    </row>
    <row r="17" spans="1:6">
      <c r="A17" s="27" t="s">
        <v>99</v>
      </c>
      <c r="B17" s="28">
        <f>B16/B7</f>
        <v>0.28404713936006581</v>
      </c>
      <c r="C17" s="28">
        <f>C16/C7</f>
        <v>0.32544621455844225</v>
      </c>
      <c r="D17" s="28">
        <f>D16/D7</f>
        <v>0.39969225805097558</v>
      </c>
      <c r="E17" s="28">
        <f>E16/E7</f>
        <v>0.47806418010602858</v>
      </c>
      <c r="F17" s="28">
        <f>F16/F7</f>
        <v>0.54429613688237388</v>
      </c>
    </row>
    <row r="18" spans="1:6">
      <c r="A18" s="39" t="s">
        <v>100</v>
      </c>
      <c r="B18" s="44">
        <v>0</v>
      </c>
      <c r="C18" s="44">
        <v>0</v>
      </c>
      <c r="D18" s="44">
        <v>0</v>
      </c>
      <c r="E18" s="44">
        <v>0</v>
      </c>
      <c r="F18" s="44">
        <v>0</v>
      </c>
    </row>
    <row r="19" spans="1:6">
      <c r="A19" s="67" t="s">
        <v>101</v>
      </c>
      <c r="B19" s="48">
        <f>B16-B18</f>
        <v>437.06333333333328</v>
      </c>
      <c r="C19" s="48">
        <f t="shared" ref="C19:F19" si="3">C16-C18</f>
        <v>673.2196666666664</v>
      </c>
      <c r="D19" s="48">
        <f t="shared" si="3"/>
        <v>1217.2370916666662</v>
      </c>
      <c r="E19" s="48">
        <f t="shared" si="3"/>
        <v>2240.315407083333</v>
      </c>
      <c r="F19" s="48">
        <f t="shared" si="3"/>
        <v>4195.0371838333331</v>
      </c>
    </row>
    <row r="20" spans="1:6">
      <c r="A20" s="29" t="s">
        <v>102</v>
      </c>
      <c r="B20" s="28">
        <f>B19/B7</f>
        <v>0.28404713936006581</v>
      </c>
      <c r="C20" s="28">
        <f>C19/C7</f>
        <v>0.32544621455844225</v>
      </c>
      <c r="D20" s="28">
        <f>D19/D7</f>
        <v>0.39969225805097558</v>
      </c>
      <c r="E20" s="28">
        <f>E19/E7</f>
        <v>0.47806418010602858</v>
      </c>
      <c r="F20" s="28">
        <f>F19/F7</f>
        <v>0.54429613688237388</v>
      </c>
    </row>
    <row r="21" spans="1:6">
      <c r="A21" s="39" t="s">
        <v>103</v>
      </c>
      <c r="B21" s="44">
        <f t="shared" ref="B21:C21" si="4">B19*0.15</f>
        <v>65.559499999999986</v>
      </c>
      <c r="C21" s="44">
        <f t="shared" si="4"/>
        <v>100.98294999999996</v>
      </c>
      <c r="D21" s="44">
        <f>D19*0.15</f>
        <v>182.58556374999992</v>
      </c>
      <c r="E21" s="44">
        <f t="shared" ref="E21:F21" si="5">E19*0.15</f>
        <v>336.04731106249994</v>
      </c>
      <c r="F21" s="44">
        <f t="shared" si="5"/>
        <v>629.25557757499996</v>
      </c>
    </row>
    <row r="22" spans="1:6">
      <c r="A22" s="68" t="s">
        <v>107</v>
      </c>
      <c r="B22" s="54">
        <f>B19-B21</f>
        <v>371.50383333333332</v>
      </c>
      <c r="C22" s="54">
        <f t="shared" ref="C22:F22" si="6">C19-C21</f>
        <v>572.23671666666644</v>
      </c>
      <c r="D22" s="54">
        <f t="shared" si="6"/>
        <v>1034.6515279166663</v>
      </c>
      <c r="E22" s="54">
        <f t="shared" si="6"/>
        <v>1904.2680960208331</v>
      </c>
      <c r="F22" s="54">
        <f t="shared" si="6"/>
        <v>3565.7816062583333</v>
      </c>
    </row>
    <row r="23" spans="1:6" ht="33.75">
      <c r="A23" s="29" t="s">
        <v>104</v>
      </c>
      <c r="B23" s="29" t="s">
        <v>104</v>
      </c>
      <c r="C23" s="28">
        <f>C22/C7</f>
        <v>0.27662928237467588</v>
      </c>
      <c r="D23" s="28">
        <f>D22/D7</f>
        <v>0.33973841934332927</v>
      </c>
      <c r="E23" s="28">
        <f>E22/E7</f>
        <v>0.4063545530901243</v>
      </c>
      <c r="F23" s="28">
        <f>F22/F7</f>
        <v>0.46265171635001784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AE0AA-801D-194D-875E-95695A69A927}">
  <dimension ref="A1:H16"/>
  <sheetViews>
    <sheetView zoomScale="145" zoomScaleNormal="145" workbookViewId="0">
      <selection activeCell="B10" sqref="B10"/>
    </sheetView>
  </sheetViews>
  <sheetFormatPr baseColWidth="10" defaultColWidth="11.42578125" defaultRowHeight="15"/>
  <cols>
    <col min="1" max="1" width="18.28515625" bestFit="1" customWidth="1"/>
  </cols>
  <sheetData>
    <row r="1" spans="1:8">
      <c r="A1" s="26"/>
      <c r="B1" s="26"/>
      <c r="C1" s="26"/>
      <c r="D1" s="26"/>
      <c r="E1" s="26"/>
      <c r="F1" s="26"/>
    </row>
    <row r="2" spans="1:8">
      <c r="A2" s="2" t="s">
        <v>140</v>
      </c>
      <c r="B2" s="3"/>
      <c r="C2" s="3"/>
      <c r="D2" s="3"/>
      <c r="E2" s="3"/>
      <c r="F2" s="3"/>
    </row>
    <row r="3" spans="1:8">
      <c r="A3" s="3"/>
      <c r="B3" s="3"/>
      <c r="C3" s="3"/>
      <c r="D3" s="3"/>
      <c r="E3" s="3"/>
      <c r="F3" s="3"/>
    </row>
    <row r="4" spans="1:8">
      <c r="A4" s="41" t="s">
        <v>66</v>
      </c>
      <c r="B4" s="42" t="s">
        <v>2</v>
      </c>
      <c r="C4" s="42" t="s">
        <v>3</v>
      </c>
      <c r="D4" s="42" t="s">
        <v>4</v>
      </c>
      <c r="E4" s="42" t="s">
        <v>5</v>
      </c>
      <c r="F4" s="42" t="s">
        <v>6</v>
      </c>
    </row>
    <row r="5" spans="1:8">
      <c r="A5" s="43" t="s">
        <v>109</v>
      </c>
      <c r="B5" s="44">
        <f>CAPEX!B10</f>
        <v>282</v>
      </c>
      <c r="C5" s="44">
        <f>CAPEX!C10</f>
        <v>9</v>
      </c>
      <c r="D5" s="44">
        <f>CAPEX!D10</f>
        <v>12</v>
      </c>
      <c r="E5" s="44">
        <f>CAPEX!E10</f>
        <v>81</v>
      </c>
      <c r="F5" s="44">
        <f>CAPEX!F10</f>
        <v>35</v>
      </c>
    </row>
    <row r="6" spans="1:8">
      <c r="A6" s="45" t="s">
        <v>141</v>
      </c>
      <c r="B6" s="46">
        <f>WCR!C27</f>
        <v>1388.5344444444445</v>
      </c>
      <c r="C6" s="46">
        <f>WCR!D27</f>
        <v>489.33136111111139</v>
      </c>
      <c r="D6" s="46">
        <f>WCR!E27</f>
        <v>869.01502499999901</v>
      </c>
      <c r="E6" s="46">
        <f>WCR!F27</f>
        <v>1507.6771622222232</v>
      </c>
      <c r="F6" s="46">
        <f>WCR!G27</f>
        <v>2679.8988293645843</v>
      </c>
    </row>
    <row r="7" spans="1:8">
      <c r="A7" s="43" t="s">
        <v>133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</row>
    <row r="8" spans="1:8">
      <c r="A8" s="47" t="s">
        <v>134</v>
      </c>
      <c r="B8" s="48">
        <f>SUM(B5:B7)</f>
        <v>1670.5344444444445</v>
      </c>
      <c r="C8" s="48">
        <f>SUM(C5:C7)</f>
        <v>498.33136111111139</v>
      </c>
      <c r="D8" s="48">
        <f>SUM(D5:D7)</f>
        <v>881.01502499999901</v>
      </c>
      <c r="E8" s="48">
        <f>SUM(E5:E7)</f>
        <v>1588.6771622222232</v>
      </c>
      <c r="F8" s="48">
        <f>SUM(F5:F7)</f>
        <v>2714.8988293645843</v>
      </c>
    </row>
    <row r="9" spans="1:8">
      <c r="A9" s="49" t="s">
        <v>142</v>
      </c>
      <c r="B9" s="50">
        <v>3000</v>
      </c>
      <c r="C9" s="44">
        <v>0</v>
      </c>
      <c r="D9" s="44">
        <v>0</v>
      </c>
      <c r="E9" s="44">
        <f>+'[1]Investment &amp; funding'!E17</f>
        <v>0</v>
      </c>
      <c r="F9" s="44">
        <v>0</v>
      </c>
    </row>
    <row r="10" spans="1:8">
      <c r="A10" s="45" t="s">
        <v>135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</row>
    <row r="11" spans="1:8">
      <c r="A11" s="43" t="s">
        <v>136</v>
      </c>
      <c r="B11" s="44">
        <f>'Income statement'!B22+'Income statement'!B15</f>
        <v>398.50383333333332</v>
      </c>
      <c r="C11" s="44">
        <f>'Income statement'!C22+'Income statement'!C15</f>
        <v>602.23671666666644</v>
      </c>
      <c r="D11" s="44">
        <f>'Income statement'!D22+'Income statement'!D15</f>
        <v>1068.6515279166663</v>
      </c>
      <c r="E11" s="44">
        <f>'Income statement'!E22+'Income statement'!E15</f>
        <v>1938.2680960208331</v>
      </c>
      <c r="F11" s="44">
        <f>'Income statement'!F22+'Income statement'!F15</f>
        <v>3607.7816062583333</v>
      </c>
    </row>
    <row r="12" spans="1:8">
      <c r="A12" s="47" t="s">
        <v>137</v>
      </c>
      <c r="B12" s="48">
        <f>SUM(B9:B11)</f>
        <v>3398.5038333333332</v>
      </c>
      <c r="C12" s="48">
        <f>SUM(C9:C11)</f>
        <v>602.23671666666644</v>
      </c>
      <c r="D12" s="48">
        <f>SUM(D9:D11)</f>
        <v>1068.6515279166663</v>
      </c>
      <c r="E12" s="48">
        <f>SUM(E9:E11)</f>
        <v>1938.2680960208331</v>
      </c>
      <c r="F12" s="48">
        <f>SUM(F9:F11)</f>
        <v>3607.7816062583333</v>
      </c>
      <c r="H12" s="1"/>
    </row>
    <row r="13" spans="1:8">
      <c r="A13" s="51"/>
      <c r="B13" s="52"/>
      <c r="C13" s="52"/>
      <c r="D13" s="52"/>
      <c r="E13" s="52"/>
      <c r="F13" s="52"/>
    </row>
    <row r="14" spans="1:8">
      <c r="A14" s="53" t="s">
        <v>138</v>
      </c>
      <c r="B14" s="54">
        <f>B12-B8</f>
        <v>1727.9693888888887</v>
      </c>
      <c r="C14" s="54">
        <f>C12-C8</f>
        <v>103.90535555555505</v>
      </c>
      <c r="D14" s="54">
        <f>D12-D8</f>
        <v>187.63650291666727</v>
      </c>
      <c r="E14" s="54">
        <f>E12-E8</f>
        <v>349.59093379860997</v>
      </c>
      <c r="F14" s="54">
        <f>F12-F8</f>
        <v>892.882776893749</v>
      </c>
    </row>
    <row r="15" spans="1:8">
      <c r="A15" s="55" t="s">
        <v>139</v>
      </c>
      <c r="B15" s="54">
        <f>B14</f>
        <v>1727.9693888888887</v>
      </c>
      <c r="C15" s="54">
        <f>B15+C14</f>
        <v>1831.8747444444439</v>
      </c>
      <c r="D15" s="54">
        <f t="shared" ref="D15:F15" si="0">C15+D14</f>
        <v>2019.5112473611111</v>
      </c>
      <c r="E15" s="54">
        <f t="shared" si="0"/>
        <v>2369.1021811597211</v>
      </c>
      <c r="F15" s="54">
        <f t="shared" si="0"/>
        <v>3261.9849580534701</v>
      </c>
    </row>
    <row r="16" spans="1:8">
      <c r="A16" s="26"/>
      <c r="B16" s="26"/>
      <c r="C16" s="26"/>
      <c r="D16" s="26"/>
      <c r="E16" s="26"/>
      <c r="F16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1384-C694-844F-A0A9-DE9BFA720B29}">
  <dimension ref="A2:G28"/>
  <sheetViews>
    <sheetView zoomScale="145" zoomScaleNormal="145" workbookViewId="0">
      <selection activeCell="A7" sqref="A7:XFD7"/>
    </sheetView>
  </sheetViews>
  <sheetFormatPr baseColWidth="10" defaultColWidth="11.42578125" defaultRowHeight="13.5" customHeight="1"/>
  <cols>
    <col min="1" max="1" width="20.7109375" style="26" bestFit="1" customWidth="1"/>
    <col min="2" max="2" width="14.28515625" style="26" bestFit="1" customWidth="1"/>
    <col min="3" max="16384" width="11.42578125" style="26"/>
  </cols>
  <sheetData>
    <row r="2" spans="1:7" ht="13.5" customHeight="1">
      <c r="A2" s="56" t="s">
        <v>110</v>
      </c>
      <c r="B2" s="57"/>
      <c r="C2" s="57"/>
      <c r="D2" s="57"/>
      <c r="E2" s="57"/>
      <c r="F2" s="57"/>
      <c r="G2" s="57"/>
    </row>
    <row r="3" spans="1:7" ht="13.5" customHeight="1">
      <c r="A3" s="57"/>
      <c r="B3" s="57"/>
      <c r="C3" s="57"/>
      <c r="D3" s="57"/>
      <c r="E3" s="57"/>
      <c r="F3" s="57"/>
      <c r="G3" s="57"/>
    </row>
    <row r="4" spans="1:7" ht="13.5" customHeight="1">
      <c r="A4" s="41" t="s">
        <v>132</v>
      </c>
      <c r="B4" s="42" t="s">
        <v>128</v>
      </c>
      <c r="C4" s="42" t="s">
        <v>2</v>
      </c>
      <c r="D4" s="42" t="s">
        <v>3</v>
      </c>
      <c r="E4" s="42" t="s">
        <v>4</v>
      </c>
      <c r="F4" s="42" t="s">
        <v>5</v>
      </c>
      <c r="G4" s="42" t="s">
        <v>6</v>
      </c>
    </row>
    <row r="5" spans="1:7" ht="13.5" customHeight="1">
      <c r="A5" s="58" t="str">
        <f>'Income statement'!A5</f>
        <v>Agrimanager</v>
      </c>
      <c r="B5" s="44">
        <v>12</v>
      </c>
      <c r="C5" s="44">
        <f>$B5*'Income statement'!B5/12</f>
        <v>1423.2</v>
      </c>
      <c r="D5" s="44">
        <f>$B5*'Income statement'!C5/12</f>
        <v>1918.9800000000002</v>
      </c>
      <c r="E5" s="44">
        <f>$B5*'Income statement'!D5/12</f>
        <v>2784.1432499999996</v>
      </c>
      <c r="F5" s="44">
        <f>$B5*'Income statement'!E5/12</f>
        <v>4293.7882312500005</v>
      </c>
      <c r="G5" s="44">
        <f>$B5*'Income statement'!F5/12</f>
        <v>6943.3241325000008</v>
      </c>
    </row>
    <row r="6" spans="1:7" ht="13.5" customHeight="1">
      <c r="A6" s="58" t="str">
        <f>'Income statement'!A6</f>
        <v>IGS</v>
      </c>
      <c r="B6" s="44">
        <v>3</v>
      </c>
      <c r="C6" s="44">
        <f>$B6*'Income statement'!B6/12</f>
        <v>28.875</v>
      </c>
      <c r="D6" s="44">
        <f>$B6*'Income statement'!C6/12</f>
        <v>37.40625</v>
      </c>
      <c r="E6" s="44">
        <f>$B6*'Income statement'!D6/12</f>
        <v>65.323125000000005</v>
      </c>
      <c r="F6" s="44">
        <f>$B6*'Income statement'!E6/12</f>
        <v>98.108718750000023</v>
      </c>
      <c r="G6" s="44">
        <f>$B6*'Income statement'!F6/12</f>
        <v>190.98641953125005</v>
      </c>
    </row>
    <row r="7" spans="1:7" ht="13.5" customHeight="1">
      <c r="A7" s="59" t="s">
        <v>129</v>
      </c>
      <c r="B7" s="48"/>
      <c r="C7" s="48">
        <f>SUM(C5:C6)</f>
        <v>1452.075</v>
      </c>
      <c r="D7" s="48">
        <f>SUM(D5:D6)</f>
        <v>1956.3862500000002</v>
      </c>
      <c r="E7" s="48">
        <f>SUM(E5:E6)</f>
        <v>2849.4663749999995</v>
      </c>
      <c r="F7" s="48">
        <f>SUM(F5:F6)</f>
        <v>4391.8969500000003</v>
      </c>
      <c r="G7" s="48">
        <f>SUM(G5:G6)</f>
        <v>7134.3105520312511</v>
      </c>
    </row>
    <row r="8" spans="1:7" ht="13.5" customHeight="1">
      <c r="A8" s="60" t="s">
        <v>91</v>
      </c>
      <c r="B8" s="44">
        <v>0</v>
      </c>
      <c r="C8" s="44">
        <f>$B8*'Income statement'!B8/12</f>
        <v>0</v>
      </c>
      <c r="D8" s="44">
        <f>$B8*'Income statement'!C8/12</f>
        <v>0</v>
      </c>
      <c r="E8" s="44">
        <f>$B8*'Income statement'!D8/12</f>
        <v>0</v>
      </c>
      <c r="F8" s="44">
        <f>$B8*'Income statement'!E8/12</f>
        <v>0</v>
      </c>
      <c r="G8" s="44">
        <f>$B8*'Income statement'!F8/12</f>
        <v>0</v>
      </c>
    </row>
    <row r="9" spans="1:7" ht="13.5" customHeight="1">
      <c r="A9" s="60" t="str">
        <f>'Income statement'!A11</f>
        <v>Staff cost</v>
      </c>
      <c r="B9" s="44">
        <v>1</v>
      </c>
      <c r="C9" s="44">
        <f>$B9*'Income statement'!B11/12</f>
        <v>53.740555555555567</v>
      </c>
      <c r="D9" s="44">
        <f>$B9*'Income statement'!C11/12</f>
        <v>68.290444444444447</v>
      </c>
      <c r="E9" s="44">
        <f>$B9*'Income statement'!D11/12</f>
        <v>90.41254444444445</v>
      </c>
      <c r="F9" s="44">
        <f>$B9*'Income statement'!E11/12</f>
        <v>122.66865722222228</v>
      </c>
      <c r="G9" s="44">
        <f>$B9*'Income statement'!F11/12</f>
        <v>181.93719988888893</v>
      </c>
    </row>
    <row r="10" spans="1:7" ht="13.5" customHeight="1">
      <c r="A10" s="60" t="str">
        <f>OPEX!A15</f>
        <v>Office rental</v>
      </c>
      <c r="B10" s="44">
        <v>0</v>
      </c>
      <c r="C10" s="44">
        <f>$B10*OPEX!C15/12</f>
        <v>0</v>
      </c>
      <c r="D10" s="44">
        <f>$B10*OPEX!D15/12</f>
        <v>0</v>
      </c>
      <c r="E10" s="44">
        <f>$B10*OPEX!E15/12</f>
        <v>0</v>
      </c>
      <c r="F10" s="44">
        <f>$B10*OPEX!F15/12</f>
        <v>0</v>
      </c>
      <c r="G10" s="44">
        <f>$B10*OPEX!G15/12</f>
        <v>0</v>
      </c>
    </row>
    <row r="11" spans="1:7" ht="13.5" customHeight="1">
      <c r="A11" s="60" t="str">
        <f>OPEX!A16</f>
        <v>Custodian</v>
      </c>
      <c r="B11" s="44">
        <v>1</v>
      </c>
      <c r="C11" s="44">
        <f>$B11*OPEX!C16/12</f>
        <v>0.3</v>
      </c>
      <c r="D11" s="44">
        <f>$B11*OPEX!D16/12</f>
        <v>0.33</v>
      </c>
      <c r="E11" s="44">
        <f>$B11*OPEX!E16/12</f>
        <v>0.36299999999999999</v>
      </c>
      <c r="F11" s="44">
        <f>$B11*OPEX!F16/12</f>
        <v>0.39929999999999999</v>
      </c>
      <c r="G11" s="44">
        <f>$B11*OPEX!G16/12</f>
        <v>0.43923000000000001</v>
      </c>
    </row>
    <row r="12" spans="1:7" ht="13.5" customHeight="1">
      <c r="A12" s="60" t="str">
        <f>OPEX!A17</f>
        <v>Telco fees</v>
      </c>
      <c r="B12" s="44">
        <v>2</v>
      </c>
      <c r="C12" s="44">
        <f>$B12*OPEX!C17/12</f>
        <v>2</v>
      </c>
      <c r="D12" s="44">
        <f>$B12*OPEX!D17/12</f>
        <v>2.7999999999999994</v>
      </c>
      <c r="E12" s="44">
        <f>$B12*OPEX!E17/12</f>
        <v>3.9199999999999995</v>
      </c>
      <c r="F12" s="44">
        <f>$B12*OPEX!F17/12</f>
        <v>5.4879999999999987</v>
      </c>
      <c r="G12" s="44">
        <f>$B12*OPEX!G17/12</f>
        <v>7.6831999999999967</v>
      </c>
    </row>
    <row r="13" spans="1:7" ht="13.5" customHeight="1">
      <c r="A13" s="60" t="str">
        <f>OPEX!A18</f>
        <v>Energy</v>
      </c>
      <c r="B13" s="44">
        <v>2</v>
      </c>
      <c r="C13" s="44">
        <f>$B13*OPEX!C18/12</f>
        <v>1</v>
      </c>
      <c r="D13" s="44">
        <f>$B13*OPEX!D18/12</f>
        <v>1.2</v>
      </c>
      <c r="E13" s="44">
        <f>$B13*OPEX!E18/12</f>
        <v>1.4399999999999997</v>
      </c>
      <c r="F13" s="44">
        <f>$B13*OPEX!F18/12</f>
        <v>1.7279999999999998</v>
      </c>
      <c r="G13" s="44">
        <f>$B13*OPEX!G18/12</f>
        <v>2.0735999999999994</v>
      </c>
    </row>
    <row r="14" spans="1:7" ht="13.5" customHeight="1">
      <c r="A14" s="60" t="str">
        <f>OPEX!A19</f>
        <v>Office supplies</v>
      </c>
      <c r="B14" s="44">
        <v>0</v>
      </c>
      <c r="C14" s="44">
        <f>$B14*OPEX!C19/12</f>
        <v>0</v>
      </c>
      <c r="D14" s="44">
        <f>$B14*OPEX!D19/12</f>
        <v>0</v>
      </c>
      <c r="E14" s="44">
        <f>$B14*OPEX!E19/12</f>
        <v>0</v>
      </c>
      <c r="F14" s="44">
        <f>$B14*OPEX!F19/12</f>
        <v>0</v>
      </c>
      <c r="G14" s="44">
        <f>$B14*OPEX!G19/12</f>
        <v>0</v>
      </c>
    </row>
    <row r="15" spans="1:7" ht="13.5" customHeight="1">
      <c r="A15" s="60" t="str">
        <f>OPEX!A20</f>
        <v>Fuel</v>
      </c>
      <c r="B15" s="44">
        <v>0</v>
      </c>
      <c r="C15" s="44">
        <f>$B15*OPEX!C20/12</f>
        <v>0</v>
      </c>
      <c r="D15" s="44">
        <f>$B15*OPEX!D20/12</f>
        <v>0</v>
      </c>
      <c r="E15" s="44">
        <f>$B15*OPEX!E20/12</f>
        <v>0</v>
      </c>
      <c r="F15" s="44">
        <f>$B15*OPEX!F20/12</f>
        <v>0</v>
      </c>
      <c r="G15" s="44">
        <f>$B15*OPEX!G20/12</f>
        <v>0</v>
      </c>
    </row>
    <row r="16" spans="1:7" ht="13.5" customHeight="1">
      <c r="A16" s="60" t="str">
        <f>OPEX!A21</f>
        <v>Car rental</v>
      </c>
      <c r="B16" s="44">
        <v>0</v>
      </c>
      <c r="C16" s="44">
        <f>$B16*OPEX!C21/12</f>
        <v>0</v>
      </c>
      <c r="D16" s="44">
        <f>$B16*OPEX!D21/12</f>
        <v>0</v>
      </c>
      <c r="E16" s="44">
        <f>$B16*OPEX!E21/12</f>
        <v>0</v>
      </c>
      <c r="F16" s="44">
        <f>$B16*OPEX!F21/12</f>
        <v>0</v>
      </c>
      <c r="G16" s="44">
        <f>$B16*OPEX!G21/12</f>
        <v>0</v>
      </c>
    </row>
    <row r="17" spans="1:7" ht="13.5" customHeight="1">
      <c r="A17" s="60" t="str">
        <f>OPEX!A22</f>
        <v>IT fees (software &amp; cloud)</v>
      </c>
      <c r="B17" s="44">
        <v>0</v>
      </c>
      <c r="C17" s="44">
        <f>$B17*OPEX!C22/12</f>
        <v>0</v>
      </c>
      <c r="D17" s="44">
        <f>$B17*OPEX!D22/12</f>
        <v>0</v>
      </c>
      <c r="E17" s="44">
        <f>$B17*OPEX!E22/12</f>
        <v>0</v>
      </c>
      <c r="F17" s="44">
        <f>$B17*OPEX!F22/12</f>
        <v>0</v>
      </c>
      <c r="G17" s="44">
        <f>$B17*OPEX!G22/12</f>
        <v>0</v>
      </c>
    </row>
    <row r="18" spans="1:7" ht="13.5" customHeight="1">
      <c r="A18" s="60" t="str">
        <f>OPEX!A23</f>
        <v>Accounting fees</v>
      </c>
      <c r="B18" s="44">
        <v>3</v>
      </c>
      <c r="C18" s="44">
        <f>$B18*OPEX!C23/12</f>
        <v>1.5</v>
      </c>
      <c r="D18" s="44">
        <f>$B18*OPEX!D23/12</f>
        <v>0.40000000000000008</v>
      </c>
      <c r="E18" s="44">
        <f>$B18*OPEX!E23/12</f>
        <v>0.40000000000000008</v>
      </c>
      <c r="F18" s="44">
        <f>$B18*OPEX!F23/12</f>
        <v>0.40000000000000008</v>
      </c>
      <c r="G18" s="44">
        <f>$B18*OPEX!G23/12</f>
        <v>0.40000000000000008</v>
      </c>
    </row>
    <row r="19" spans="1:7" ht="13.5" customHeight="1">
      <c r="A19" s="60" t="str">
        <f>OPEX!A24</f>
        <v>External audit fees</v>
      </c>
      <c r="B19" s="44">
        <v>12</v>
      </c>
      <c r="C19" s="44">
        <f>$B19*OPEX!C24/12</f>
        <v>5</v>
      </c>
      <c r="D19" s="44">
        <f>$B19*OPEX!D24/12</f>
        <v>5.5</v>
      </c>
      <c r="E19" s="44">
        <f>$B19*OPEX!E24/12</f>
        <v>6.0500000000000007</v>
      </c>
      <c r="F19" s="44">
        <f>$B19*OPEX!F24/12</f>
        <v>6.6550000000000011</v>
      </c>
      <c r="G19" s="44">
        <f>$B19*OPEX!G24/12</f>
        <v>7.3205000000000018</v>
      </c>
    </row>
    <row r="20" spans="1:7" ht="13.5" customHeight="1">
      <c r="A20" s="60" t="str">
        <f>OPEX!A25</f>
        <v>Legal fees</v>
      </c>
      <c r="B20" s="44">
        <v>0</v>
      </c>
      <c r="C20" s="44">
        <f>$B20*OPEX!C25/12</f>
        <v>0</v>
      </c>
      <c r="D20" s="44">
        <f>$B20*OPEX!D25/12</f>
        <v>0</v>
      </c>
      <c r="E20" s="44">
        <f>$B20*OPEX!E25/12</f>
        <v>0</v>
      </c>
      <c r="F20" s="44">
        <f>$B20*OPEX!F25/12</f>
        <v>0</v>
      </c>
      <c r="G20" s="44">
        <f>$B20*OPEX!G25/12</f>
        <v>0</v>
      </c>
    </row>
    <row r="21" spans="1:7" ht="13.5" customHeight="1">
      <c r="A21" s="60" t="str">
        <f>OPEX!A26</f>
        <v>Other consulting fees</v>
      </c>
      <c r="B21" s="44">
        <v>0</v>
      </c>
      <c r="C21" s="44">
        <f>$B21*OPEX!C26/12</f>
        <v>0</v>
      </c>
      <c r="D21" s="44">
        <f>$B21*OPEX!D26/12</f>
        <v>0</v>
      </c>
      <c r="E21" s="44">
        <f>$B21*OPEX!E26/12</f>
        <v>0</v>
      </c>
      <c r="F21" s="44">
        <f>$B21*OPEX!F26/12</f>
        <v>0</v>
      </c>
      <c r="G21" s="44">
        <f>$B21*OPEX!G26/12</f>
        <v>0</v>
      </c>
    </row>
    <row r="22" spans="1:7" ht="13.5" customHeight="1">
      <c r="A22" s="60" t="str">
        <f>OPEX!A27</f>
        <v>Marketing fees</v>
      </c>
      <c r="B22" s="44">
        <v>0</v>
      </c>
      <c r="C22" s="44">
        <f>$B22*OPEX!C27/12</f>
        <v>0</v>
      </c>
      <c r="D22" s="44">
        <f>$B22*OPEX!D27/12</f>
        <v>0</v>
      </c>
      <c r="E22" s="44">
        <f>$B22*OPEX!E27/12</f>
        <v>0</v>
      </c>
      <c r="F22" s="44">
        <f>$B22*OPEX!F27/12</f>
        <v>0</v>
      </c>
      <c r="G22" s="44">
        <f>$B22*OPEX!G27/12</f>
        <v>0</v>
      </c>
    </row>
    <row r="23" spans="1:7" ht="13.5" customHeight="1">
      <c r="A23" s="60" t="str">
        <f>OPEX!A28</f>
        <v>Missions (business trips)</v>
      </c>
      <c r="B23" s="44">
        <v>0</v>
      </c>
      <c r="C23" s="44">
        <f>$B23*OPEX!C28/12</f>
        <v>0</v>
      </c>
      <c r="D23" s="44">
        <f>$B23*OPEX!D28/12</f>
        <v>0</v>
      </c>
      <c r="E23" s="44">
        <f>$B23*OPEX!E28/12</f>
        <v>0</v>
      </c>
      <c r="F23" s="44">
        <f>$B23*OPEX!F28/12</f>
        <v>0</v>
      </c>
      <c r="G23" s="44">
        <f>$B23*OPEX!G28/12</f>
        <v>0</v>
      </c>
    </row>
    <row r="24" spans="1:7" ht="13.5" customHeight="1">
      <c r="A24" s="60" t="str">
        <f>OPEX!A29</f>
        <v>Miscellaneous</v>
      </c>
      <c r="B24" s="44">
        <v>0</v>
      </c>
      <c r="C24" s="44">
        <f>$B24*OPEX!C29/12</f>
        <v>0</v>
      </c>
      <c r="D24" s="44">
        <f>$B24*OPEX!D29/12</f>
        <v>0</v>
      </c>
      <c r="E24" s="44">
        <f>$B24*OPEX!E29/12</f>
        <v>0</v>
      </c>
      <c r="F24" s="44">
        <f>$B24*OPEX!F29/12</f>
        <v>0</v>
      </c>
      <c r="G24" s="44">
        <f>$B24*OPEX!G29/12</f>
        <v>0</v>
      </c>
    </row>
    <row r="25" spans="1:7" ht="13.5" customHeight="1">
      <c r="A25" s="59" t="s">
        <v>130</v>
      </c>
      <c r="B25" s="48"/>
      <c r="C25" s="48">
        <f>SUM(C8:C24)</f>
        <v>63.540555555555564</v>
      </c>
      <c r="D25" s="48">
        <f t="shared" ref="D25:G25" si="0">SUM(D8:D24)</f>
        <v>78.52044444444445</v>
      </c>
      <c r="E25" s="48">
        <f t="shared" si="0"/>
        <v>102.58554444444445</v>
      </c>
      <c r="F25" s="48">
        <f t="shared" si="0"/>
        <v>137.33895722222229</v>
      </c>
      <c r="G25" s="48">
        <f t="shared" si="0"/>
        <v>199.85372988888895</v>
      </c>
    </row>
    <row r="26" spans="1:7" ht="13.5" customHeight="1">
      <c r="A26" s="61" t="s">
        <v>110</v>
      </c>
      <c r="B26" s="54"/>
      <c r="C26" s="54">
        <f>C7-C25</f>
        <v>1388.5344444444445</v>
      </c>
      <c r="D26" s="54">
        <f t="shared" ref="D26:G26" si="1">D7-D25</f>
        <v>1877.8658055555559</v>
      </c>
      <c r="E26" s="54">
        <f t="shared" si="1"/>
        <v>2746.8808305555549</v>
      </c>
      <c r="F26" s="54">
        <f t="shared" si="1"/>
        <v>4254.5579927777781</v>
      </c>
      <c r="G26" s="54">
        <f t="shared" si="1"/>
        <v>6934.4568221423624</v>
      </c>
    </row>
    <row r="27" spans="1:7" ht="13.5" customHeight="1">
      <c r="A27" s="61" t="s">
        <v>131</v>
      </c>
      <c r="B27" s="54"/>
      <c r="C27" s="54">
        <f>+C26</f>
        <v>1388.5344444444445</v>
      </c>
      <c r="D27" s="54">
        <f>+D26-C26</f>
        <v>489.33136111111139</v>
      </c>
      <c r="E27" s="54">
        <f t="shared" ref="E27:G27" si="2">+E26-D26</f>
        <v>869.01502499999901</v>
      </c>
      <c r="F27" s="54">
        <f t="shared" si="2"/>
        <v>1507.6771622222232</v>
      </c>
      <c r="G27" s="54">
        <f t="shared" si="2"/>
        <v>2679.8988293645843</v>
      </c>
    </row>
    <row r="28" spans="1:7" ht="13.5" customHeight="1">
      <c r="A28" s="3"/>
      <c r="B28" s="3"/>
      <c r="C28" s="3"/>
      <c r="D28" s="3"/>
      <c r="E28" s="3"/>
      <c r="F28" s="3"/>
      <c r="G2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Revenue</vt:lpstr>
      <vt:lpstr>Staff costs</vt:lpstr>
      <vt:lpstr>OPEX</vt:lpstr>
      <vt:lpstr>CAPEX</vt:lpstr>
      <vt:lpstr>Amortizations</vt:lpstr>
      <vt:lpstr>Income statement</vt:lpstr>
      <vt:lpstr>Cashflow statement</vt:lpstr>
      <vt:lpstr>WCR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IntilaQTech01</dc:creator>
  <cp:lastModifiedBy>Yasser Bououd</cp:lastModifiedBy>
  <dcterms:created xsi:type="dcterms:W3CDTF">2021-10-27T08:54:46Z</dcterms:created>
  <dcterms:modified xsi:type="dcterms:W3CDTF">2024-06-07T10:09:05Z</dcterms:modified>
</cp:coreProperties>
</file>